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ardl\Desktop\Open Resources\Business of Plant Breeding\"/>
    </mc:Choice>
  </mc:AlternateContent>
  <xr:revisionPtr revIDLastSave="0" documentId="8_{19284D80-1E0A-4B07-9C88-8BF0F1A9DBFE}" xr6:coauthVersionLast="36" xr6:coauthVersionMax="36" xr10:uidLastSave="{00000000-0000-0000-0000-000000000000}"/>
  <bookViews>
    <workbookView xWindow="480" yWindow="45" windowWidth="11520" windowHeight="6600" tabRatio="830" activeTab="3" xr2:uid="{00000000-000D-0000-FFFF-FFFF00000000}"/>
  </bookViews>
  <sheets>
    <sheet name="Remarks" sheetId="9" r:id="rId1"/>
    <sheet name="Cover" sheetId="14" r:id="rId2"/>
    <sheet name="Common NPV parameters" sheetId="2" r:id="rId3"/>
    <sheet name="Project Rationale" sheetId="10" r:id="rId4"/>
    <sheet name="Input Breeder" sheetId="11" r:id="rId5"/>
    <sheet name="Secondary Inputs" sheetId="7" r:id="rId6"/>
    <sheet name="NPV calculation" sheetId="5" r:id="rId7"/>
    <sheet name="Summary" sheetId="3" r:id="rId8"/>
    <sheet name="Cannibalization principle" sheetId="12" r:id="rId9"/>
    <sheet name="Explanations" sheetId="13" r:id="rId10"/>
  </sheets>
  <externalReferences>
    <externalReference r:id="rId11"/>
  </externalReferences>
  <definedNames>
    <definedName name="_xlnm.Print_Area" localSheetId="7">Summary!$A$3:$AO$44</definedName>
    <definedName name="ProjectType">'[1]Basic Project Info section 1'!$D$21</definedName>
  </definedNames>
  <calcPr calcId="191029"/>
</workbook>
</file>

<file path=xl/calcChain.xml><?xml version="1.0" encoding="utf-8"?>
<calcChain xmlns="http://schemas.openxmlformats.org/spreadsheetml/2006/main">
  <c r="H9" i="3" l="1"/>
  <c r="H8" i="3"/>
  <c r="B28" i="11" l="1"/>
  <c r="C28" i="11" s="1"/>
  <c r="D28" i="11" s="1"/>
  <c r="E28" i="11" s="1"/>
  <c r="F28" i="11" s="1"/>
  <c r="G28" i="11" s="1"/>
  <c r="H28" i="11" s="1"/>
  <c r="I28" i="11" s="1"/>
  <c r="J28" i="11" s="1"/>
  <c r="K28" i="11" s="1"/>
  <c r="L28" i="11" s="1"/>
  <c r="M28" i="11" s="1"/>
  <c r="N28" i="11" s="1"/>
  <c r="O28" i="11" s="1"/>
  <c r="P28" i="11" s="1"/>
  <c r="K18" i="7" l="1"/>
  <c r="J18" i="7"/>
  <c r="L18" i="7" l="1"/>
  <c r="M18" i="7" l="1"/>
  <c r="N18" i="7" l="1"/>
  <c r="O18" i="7" l="1"/>
  <c r="P18" i="7" l="1"/>
  <c r="Q18" i="7" l="1"/>
  <c r="R18" i="7" l="1"/>
  <c r="S18" i="7" l="1"/>
  <c r="T18" i="7" l="1"/>
  <c r="U18" i="7" l="1"/>
  <c r="V18" i="7" l="1"/>
  <c r="X18" i="7" l="1"/>
  <c r="W18" i="7"/>
  <c r="B20" i="11" l="1"/>
  <c r="C20" i="11" s="1"/>
  <c r="D20" i="11" s="1"/>
  <c r="E20" i="11" s="1"/>
  <c r="F20" i="11" s="1"/>
  <c r="G20" i="11" s="1"/>
  <c r="H20" i="11" s="1"/>
  <c r="I20" i="11" s="1"/>
  <c r="J20" i="11" s="1"/>
  <c r="K20" i="11" s="1"/>
  <c r="L20" i="11" s="1"/>
  <c r="M20" i="11" s="1"/>
  <c r="N20" i="11" s="1"/>
  <c r="O20" i="11" s="1"/>
  <c r="P20" i="11" s="1"/>
  <c r="B13" i="11"/>
  <c r="C13" i="11" s="1"/>
  <c r="D13" i="11" s="1"/>
  <c r="E13" i="11" s="1"/>
  <c r="F13" i="11" s="1"/>
  <c r="G13" i="11" s="1"/>
  <c r="H13" i="11" s="1"/>
  <c r="I13" i="11" s="1"/>
  <c r="J13" i="11" s="1"/>
  <c r="K13" i="11" s="1"/>
  <c r="L13" i="11" s="1"/>
  <c r="M13" i="11" s="1"/>
  <c r="N13" i="11" s="1"/>
  <c r="O13" i="11" s="1"/>
  <c r="P13" i="11" s="1"/>
  <c r="B9" i="11"/>
  <c r="B14" i="11" l="1"/>
  <c r="J39" i="7" s="1"/>
  <c r="C9" i="11"/>
  <c r="D9" i="11" s="1"/>
  <c r="E9" i="11" s="1"/>
  <c r="F9" i="11" s="1"/>
  <c r="B21" i="11"/>
  <c r="J6" i="7" s="1"/>
  <c r="E14" i="11" l="1"/>
  <c r="C21" i="11"/>
  <c r="K6" i="7" s="1"/>
  <c r="D14" i="11"/>
  <c r="C14" i="11"/>
  <c r="F14" i="11"/>
  <c r="G9" i="11"/>
  <c r="D21" i="11"/>
  <c r="L6" i="7" s="1"/>
  <c r="N39" i="7" l="1"/>
  <c r="K39" i="7"/>
  <c r="L39" i="7"/>
  <c r="M39" i="7"/>
  <c r="E21" i="11"/>
  <c r="M6" i="7" s="1"/>
  <c r="G14" i="11"/>
  <c r="H9" i="11"/>
  <c r="O39" i="7" l="1"/>
  <c r="F21" i="11"/>
  <c r="N6" i="7" s="1"/>
  <c r="I9" i="11"/>
  <c r="H14" i="11"/>
  <c r="P39" i="7" l="1"/>
  <c r="J9" i="11"/>
  <c r="I14" i="11"/>
  <c r="G21" i="11"/>
  <c r="O6" i="7" s="1"/>
  <c r="Q39" i="7" l="1"/>
  <c r="H21" i="11"/>
  <c r="P6" i="7" s="1"/>
  <c r="J14" i="11"/>
  <c r="K9" i="11"/>
  <c r="R39" i="7" l="1"/>
  <c r="K14" i="11"/>
  <c r="L9" i="11"/>
  <c r="I21" i="11"/>
  <c r="Q6" i="7" s="1"/>
  <c r="S39" i="7" l="1"/>
  <c r="J21" i="11"/>
  <c r="R6" i="7" s="1"/>
  <c r="M9" i="11"/>
  <c r="L14" i="11"/>
  <c r="T39" i="7" l="1"/>
  <c r="K21" i="11"/>
  <c r="S6" i="7" s="1"/>
  <c r="N9" i="11"/>
  <c r="M14" i="11"/>
  <c r="U39" i="7" l="1"/>
  <c r="L21" i="11"/>
  <c r="T6" i="7" s="1"/>
  <c r="N14" i="11"/>
  <c r="O9" i="11"/>
  <c r="V39" i="7" l="1"/>
  <c r="O14" i="11"/>
  <c r="P9" i="11"/>
  <c r="M21" i="11"/>
  <c r="U6" i="7" s="1"/>
  <c r="W39" i="7" l="1"/>
  <c r="N21" i="11"/>
  <c r="V6" i="7" s="1"/>
  <c r="P14" i="11"/>
  <c r="X39" i="7" l="1"/>
  <c r="O21" i="11"/>
  <c r="W6" i="7" s="1"/>
  <c r="P21" i="11" l="1"/>
  <c r="X6" i="7" s="1"/>
  <c r="H16" i="5" l="1"/>
  <c r="I16" i="5"/>
  <c r="J16" i="5"/>
  <c r="K16" i="5"/>
  <c r="L16" i="5"/>
  <c r="M16" i="5"/>
  <c r="N16" i="5"/>
  <c r="O16" i="5"/>
  <c r="O18" i="5" s="1"/>
  <c r="P16" i="5"/>
  <c r="Q16" i="5"/>
  <c r="R16" i="5"/>
  <c r="S16" i="5"/>
  <c r="S18" i="5" s="1"/>
  <c r="T16" i="5"/>
  <c r="U16" i="5"/>
  <c r="H17" i="5"/>
  <c r="I17" i="5"/>
  <c r="J17" i="5"/>
  <c r="J18" i="5" s="1"/>
  <c r="K17" i="5"/>
  <c r="L17" i="5"/>
  <c r="M17" i="5"/>
  <c r="N17" i="5"/>
  <c r="N18" i="5" s="1"/>
  <c r="O17" i="5"/>
  <c r="P17" i="5"/>
  <c r="Q17" i="5"/>
  <c r="R17" i="5"/>
  <c r="R18" i="5" s="1"/>
  <c r="S17" i="5"/>
  <c r="T17" i="5"/>
  <c r="U17" i="5"/>
  <c r="G17" i="5"/>
  <c r="G16" i="5"/>
  <c r="P72" i="5"/>
  <c r="O72" i="5"/>
  <c r="N72" i="5"/>
  <c r="M72" i="5"/>
  <c r="L72" i="5"/>
  <c r="P71" i="5"/>
  <c r="O71" i="5"/>
  <c r="N71" i="5"/>
  <c r="M71" i="5"/>
  <c r="L71" i="5"/>
  <c r="P54" i="5"/>
  <c r="O54" i="5"/>
  <c r="N54" i="5"/>
  <c r="M54" i="5"/>
  <c r="L54" i="5"/>
  <c r="P39" i="5"/>
  <c r="O39" i="5"/>
  <c r="N39" i="5"/>
  <c r="M39" i="5"/>
  <c r="L39" i="5"/>
  <c r="P25" i="5"/>
  <c r="O25" i="5"/>
  <c r="N25" i="5"/>
  <c r="M25" i="5"/>
  <c r="L25" i="5"/>
  <c r="P6" i="5"/>
  <c r="P24" i="5" s="1"/>
  <c r="O6" i="5"/>
  <c r="N6" i="5"/>
  <c r="M6" i="5"/>
  <c r="M24" i="5" s="1"/>
  <c r="L6" i="5"/>
  <c r="L24" i="5" s="1"/>
  <c r="F29" i="7"/>
  <c r="F32" i="7"/>
  <c r="P7" i="5"/>
  <c r="P28" i="5" s="1"/>
  <c r="O7" i="5"/>
  <c r="O28" i="5" s="1"/>
  <c r="N7" i="5"/>
  <c r="N12" i="5" s="1"/>
  <c r="M7" i="5"/>
  <c r="L7" i="5"/>
  <c r="S23" i="7"/>
  <c r="P21" i="5" s="1"/>
  <c r="R23" i="7"/>
  <c r="O21" i="5" s="1"/>
  <c r="Q23" i="7"/>
  <c r="N21" i="5" s="1"/>
  <c r="P23" i="7"/>
  <c r="M21" i="5" s="1"/>
  <c r="M65" i="5" s="1"/>
  <c r="O23" i="7"/>
  <c r="L21" i="5" s="1"/>
  <c r="U18" i="5" l="1"/>
  <c r="T18" i="5"/>
  <c r="P18" i="5"/>
  <c r="H18" i="5"/>
  <c r="O65" i="5"/>
  <c r="N65" i="5"/>
  <c r="L65" i="5"/>
  <c r="P65" i="5"/>
  <c r="K18" i="5"/>
  <c r="Q18" i="5"/>
  <c r="I18" i="5"/>
  <c r="L28" i="5"/>
  <c r="L12" i="5"/>
  <c r="M18" i="5"/>
  <c r="L18" i="5"/>
  <c r="G18" i="5"/>
  <c r="N28" i="5"/>
  <c r="P11" i="5"/>
  <c r="O12" i="5"/>
  <c r="M11" i="5"/>
  <c r="P27" i="5"/>
  <c r="P29" i="5" s="1"/>
  <c r="L8" i="5"/>
  <c r="P12" i="5"/>
  <c r="L27" i="5"/>
  <c r="P8" i="5"/>
  <c r="N27" i="5"/>
  <c r="L11" i="5"/>
  <c r="O27" i="5"/>
  <c r="O29" i="5" s="1"/>
  <c r="N11" i="5"/>
  <c r="N8" i="5"/>
  <c r="M27" i="5"/>
  <c r="M12" i="5"/>
  <c r="N24" i="5"/>
  <c r="O8" i="5"/>
  <c r="O24" i="5"/>
  <c r="M8" i="5"/>
  <c r="O11" i="5"/>
  <c r="M28" i="5"/>
  <c r="O48" i="5" l="1"/>
  <c r="P47" i="5"/>
  <c r="P48" i="5"/>
  <c r="M47" i="5"/>
  <c r="M48" i="5"/>
  <c r="N48" i="5"/>
  <c r="O47" i="5"/>
  <c r="N47" i="5"/>
  <c r="L29" i="5"/>
  <c r="L34" i="5" s="1"/>
  <c r="N29" i="5"/>
  <c r="N34" i="5" s="1"/>
  <c r="O34" i="5"/>
  <c r="P13" i="5"/>
  <c r="P41" i="5" s="1"/>
  <c r="P43" i="5" s="1"/>
  <c r="L13" i="5"/>
  <c r="L41" i="5" s="1"/>
  <c r="L43" i="5" s="1"/>
  <c r="P34" i="5"/>
  <c r="M29" i="5"/>
  <c r="M34" i="5" s="1"/>
  <c r="O13" i="5"/>
  <c r="O41" i="5" s="1"/>
  <c r="O43" i="5" s="1"/>
  <c r="N13" i="5"/>
  <c r="N41" i="5" s="1"/>
  <c r="N43" i="5" s="1"/>
  <c r="M13" i="5"/>
  <c r="M41" i="5" s="1"/>
  <c r="M43" i="5" s="1"/>
  <c r="J41" i="3"/>
  <c r="J40" i="3"/>
  <c r="J39" i="3"/>
  <c r="L28" i="3"/>
  <c r="J28" i="3"/>
  <c r="H28" i="3"/>
  <c r="L26" i="3"/>
  <c r="J26" i="3"/>
  <c r="H26" i="3"/>
  <c r="L24" i="3"/>
  <c r="J24" i="3"/>
  <c r="H24" i="3"/>
  <c r="H13" i="3"/>
  <c r="H11" i="3"/>
  <c r="H10" i="3"/>
  <c r="AK5" i="3"/>
  <c r="D74" i="5"/>
  <c r="J38" i="3" s="1"/>
  <c r="U71" i="5"/>
  <c r="T71" i="5"/>
  <c r="S71" i="5"/>
  <c r="R71" i="5"/>
  <c r="Q71" i="5"/>
  <c r="K71" i="5"/>
  <c r="J71" i="5"/>
  <c r="I71" i="5"/>
  <c r="H71" i="5"/>
  <c r="G71" i="5"/>
  <c r="U54" i="5"/>
  <c r="T54" i="5"/>
  <c r="S54" i="5"/>
  <c r="R54" i="5"/>
  <c r="Q54" i="5"/>
  <c r="K54" i="5"/>
  <c r="J54" i="5"/>
  <c r="I54" i="5"/>
  <c r="H54" i="5"/>
  <c r="G54" i="5"/>
  <c r="U39" i="5"/>
  <c r="T39" i="5"/>
  <c r="S39" i="5"/>
  <c r="R39" i="5"/>
  <c r="Q39" i="5"/>
  <c r="K39" i="5"/>
  <c r="J39" i="5"/>
  <c r="I39" i="5"/>
  <c r="H39" i="5"/>
  <c r="G39" i="5"/>
  <c r="U25" i="5"/>
  <c r="T25" i="5"/>
  <c r="S25" i="5"/>
  <c r="R25" i="5"/>
  <c r="Q25" i="5"/>
  <c r="K25" i="5"/>
  <c r="J25" i="5"/>
  <c r="I25" i="5"/>
  <c r="H25" i="5"/>
  <c r="G25" i="5"/>
  <c r="U7" i="5"/>
  <c r="T7" i="5"/>
  <c r="T12" i="5" s="1"/>
  <c r="S7" i="5"/>
  <c r="S28" i="5" s="1"/>
  <c r="R7" i="5"/>
  <c r="R28" i="5" s="1"/>
  <c r="Q7" i="5"/>
  <c r="Q12" i="5" s="1"/>
  <c r="K7" i="5"/>
  <c r="K28" i="5" s="1"/>
  <c r="J7" i="5"/>
  <c r="I7" i="5"/>
  <c r="I12" i="5" s="1"/>
  <c r="H7" i="5"/>
  <c r="H28" i="5" s="1"/>
  <c r="G7" i="5"/>
  <c r="G28" i="5" s="1"/>
  <c r="F7" i="5"/>
  <c r="U6" i="5"/>
  <c r="V6" i="5" s="1"/>
  <c r="V11" i="5" s="1"/>
  <c r="T6" i="5"/>
  <c r="T24" i="5" s="1"/>
  <c r="S6" i="5"/>
  <c r="S24" i="5" s="1"/>
  <c r="R6" i="5"/>
  <c r="R11" i="5" s="1"/>
  <c r="Q6" i="5"/>
  <c r="K6" i="5"/>
  <c r="K24" i="5" s="1"/>
  <c r="J6" i="5"/>
  <c r="J24" i="5" s="1"/>
  <c r="I6" i="5"/>
  <c r="I11" i="5" s="1"/>
  <c r="H6" i="5"/>
  <c r="G6" i="5"/>
  <c r="G24" i="5" s="1"/>
  <c r="F6" i="5"/>
  <c r="G72" i="5"/>
  <c r="X23" i="7"/>
  <c r="U21" i="5" s="1"/>
  <c r="W23" i="7"/>
  <c r="T21" i="5" s="1"/>
  <c r="T65" i="5" s="1"/>
  <c r="V23" i="7"/>
  <c r="S21" i="5" s="1"/>
  <c r="U23" i="7"/>
  <c r="R21" i="5" s="1"/>
  <c r="T23" i="7"/>
  <c r="Q21" i="5" s="1"/>
  <c r="N23" i="7"/>
  <c r="K21" i="5" s="1"/>
  <c r="K65" i="5" s="1"/>
  <c r="M23" i="7"/>
  <c r="J21" i="5" s="1"/>
  <c r="L23" i="7"/>
  <c r="I21" i="5" s="1"/>
  <c r="K23" i="7"/>
  <c r="H21" i="5" s="1"/>
  <c r="J23" i="7"/>
  <c r="G21" i="5" s="1"/>
  <c r="F22" i="7"/>
  <c r="F21" i="7"/>
  <c r="F20" i="7"/>
  <c r="F19" i="7"/>
  <c r="F18" i="7"/>
  <c r="G65" i="5" l="1"/>
  <c r="I65" i="5"/>
  <c r="R65" i="5"/>
  <c r="J65" i="5"/>
  <c r="S65" i="5"/>
  <c r="H65" i="5"/>
  <c r="Q65" i="5"/>
  <c r="U65" i="5"/>
  <c r="U28" i="5"/>
  <c r="V7" i="5"/>
  <c r="V12" i="5" s="1"/>
  <c r="V13" i="5" s="1"/>
  <c r="M46" i="5"/>
  <c r="O46" i="5"/>
  <c r="N46" i="5"/>
  <c r="L46" i="5"/>
  <c r="F8" i="5"/>
  <c r="Q8" i="5"/>
  <c r="I13" i="5"/>
  <c r="K27" i="5"/>
  <c r="K29" i="5" s="1"/>
  <c r="T28" i="5"/>
  <c r="G12" i="5"/>
  <c r="T27" i="5"/>
  <c r="K12" i="5"/>
  <c r="J11" i="5"/>
  <c r="I27" i="5"/>
  <c r="K8" i="5"/>
  <c r="T11" i="5"/>
  <c r="J42" i="3"/>
  <c r="G66" i="5"/>
  <c r="U27" i="5"/>
  <c r="H24" i="5"/>
  <c r="H11" i="5"/>
  <c r="H8" i="5"/>
  <c r="U24" i="5"/>
  <c r="U11" i="5"/>
  <c r="R12" i="5"/>
  <c r="F23" i="7"/>
  <c r="R24" i="5"/>
  <c r="R8" i="5"/>
  <c r="J27" i="5"/>
  <c r="J12" i="5"/>
  <c r="S27" i="5"/>
  <c r="S29" i="5" s="1"/>
  <c r="S12" i="5"/>
  <c r="G8" i="5"/>
  <c r="T8" i="5"/>
  <c r="K11" i="5"/>
  <c r="H12" i="5"/>
  <c r="U12" i="5"/>
  <c r="I24" i="5"/>
  <c r="R27" i="5"/>
  <c r="R29" i="5" s="1"/>
  <c r="J28" i="5"/>
  <c r="H72" i="5"/>
  <c r="Q28" i="5"/>
  <c r="Q27" i="5"/>
  <c r="G11" i="5"/>
  <c r="Q24" i="5"/>
  <c r="Q11" i="5"/>
  <c r="I28" i="5"/>
  <c r="I8" i="5"/>
  <c r="U8" i="5"/>
  <c r="H27" i="5"/>
  <c r="H29" i="5" s="1"/>
  <c r="J8" i="5"/>
  <c r="S8" i="5"/>
  <c r="S11" i="5"/>
  <c r="G27" i="5"/>
  <c r="G29" i="5" s="1"/>
  <c r="J43" i="3"/>
  <c r="V8" i="5" l="1"/>
  <c r="U29" i="5"/>
  <c r="U34" i="5" s="1"/>
  <c r="K47" i="5"/>
  <c r="K48" i="5"/>
  <c r="S48" i="5"/>
  <c r="T48" i="5"/>
  <c r="U48" i="5"/>
  <c r="L47" i="5"/>
  <c r="L48" i="5"/>
  <c r="R48" i="5"/>
  <c r="Q48" i="5"/>
  <c r="J47" i="5"/>
  <c r="J48" i="5"/>
  <c r="H47" i="5"/>
  <c r="H48" i="5"/>
  <c r="I48" i="5"/>
  <c r="U47" i="5"/>
  <c r="R47" i="5"/>
  <c r="Q47" i="5"/>
  <c r="S47" i="5"/>
  <c r="T47" i="5"/>
  <c r="I47" i="5"/>
  <c r="G48" i="5"/>
  <c r="Y23" i="5"/>
  <c r="Y26" i="5" s="1"/>
  <c r="Y24" i="5"/>
  <c r="Y27" i="5" s="1"/>
  <c r="AA23" i="5"/>
  <c r="AA24" i="5"/>
  <c r="Z23" i="5"/>
  <c r="Z24" i="5"/>
  <c r="AB23" i="5"/>
  <c r="AB24" i="5"/>
  <c r="T29" i="5"/>
  <c r="T34" i="5" s="1"/>
  <c r="G34" i="5"/>
  <c r="R34" i="5"/>
  <c r="R13" i="5"/>
  <c r="I29" i="5"/>
  <c r="I34" i="5" s="1"/>
  <c r="Q29" i="5"/>
  <c r="Q34" i="5" s="1"/>
  <c r="K34" i="5"/>
  <c r="K13" i="5"/>
  <c r="K46" i="5" s="1"/>
  <c r="U13" i="5"/>
  <c r="T13" i="5"/>
  <c r="T41" i="5" s="1"/>
  <c r="T43" i="5" s="1"/>
  <c r="S13" i="5"/>
  <c r="J13" i="5"/>
  <c r="Z13" i="5" s="1"/>
  <c r="Z14" i="5" s="1"/>
  <c r="I72" i="5"/>
  <c r="D73" i="5" s="1"/>
  <c r="G22" i="5" s="1"/>
  <c r="J29" i="5"/>
  <c r="J34" i="5" s="1"/>
  <c r="G47" i="5"/>
  <c r="H66" i="5"/>
  <c r="I66" i="5" s="1"/>
  <c r="J66" i="5" s="1"/>
  <c r="K66" i="5" s="1"/>
  <c r="L66" i="5" s="1"/>
  <c r="M66" i="5" s="1"/>
  <c r="N66" i="5" s="1"/>
  <c r="O66" i="5" s="1"/>
  <c r="P66" i="5" s="1"/>
  <c r="Q66" i="5" s="1"/>
  <c r="R66" i="5" s="1"/>
  <c r="S66" i="5" s="1"/>
  <c r="T66" i="5" s="1"/>
  <c r="U66" i="5" s="1"/>
  <c r="Q13" i="5"/>
  <c r="P46" i="5" s="1"/>
  <c r="P45" i="5" s="1"/>
  <c r="I41" i="5"/>
  <c r="I43" i="5" s="1"/>
  <c r="G13" i="5"/>
  <c r="G41" i="5" s="1"/>
  <c r="G43" i="5" s="1"/>
  <c r="H34" i="5"/>
  <c r="S34" i="5"/>
  <c r="H13" i="5"/>
  <c r="H46" i="5" s="1"/>
  <c r="U46" i="5" l="1"/>
  <c r="U45" i="5" s="1"/>
  <c r="Q46" i="5"/>
  <c r="Q45" i="5" s="1"/>
  <c r="J46" i="5"/>
  <c r="J45" i="5" s="1"/>
  <c r="R46" i="5"/>
  <c r="R45" i="5" s="1"/>
  <c r="S46" i="5"/>
  <c r="S45" i="5" s="1"/>
  <c r="T46" i="5"/>
  <c r="T45" i="5" s="1"/>
  <c r="K45" i="5"/>
  <c r="Z27" i="5"/>
  <c r="L45" i="5"/>
  <c r="N45" i="5"/>
  <c r="G68" i="5"/>
  <c r="O45" i="5"/>
  <c r="S41" i="5"/>
  <c r="S43" i="5" s="1"/>
  <c r="M45" i="5"/>
  <c r="J37" i="3"/>
  <c r="M23" i="5"/>
  <c r="N22" i="5"/>
  <c r="P23" i="5"/>
  <c r="L23" i="5"/>
  <c r="M22" i="5"/>
  <c r="O23" i="5"/>
  <c r="L22" i="5"/>
  <c r="N23" i="5"/>
  <c r="P22" i="5"/>
  <c r="O22" i="5"/>
  <c r="H22" i="5"/>
  <c r="AB13" i="5"/>
  <c r="AB14" i="5" s="1"/>
  <c r="Z26" i="5"/>
  <c r="Y13" i="5"/>
  <c r="Y14" i="5" s="1"/>
  <c r="AA26" i="5"/>
  <c r="J41" i="5"/>
  <c r="J43" i="5" s="1"/>
  <c r="H23" i="5"/>
  <c r="I23" i="5"/>
  <c r="I22" i="5"/>
  <c r="G23" i="5"/>
  <c r="AB27" i="5"/>
  <c r="AC27" i="5"/>
  <c r="AC26" i="5"/>
  <c r="AB26" i="5"/>
  <c r="AA27" i="5"/>
  <c r="K41" i="5"/>
  <c r="K43" i="5" s="1"/>
  <c r="AA13" i="5"/>
  <c r="AA14" i="5" s="1"/>
  <c r="AC13" i="5"/>
  <c r="AC14" i="5" s="1"/>
  <c r="Y29" i="5"/>
  <c r="R41" i="5"/>
  <c r="R43" i="5" s="1"/>
  <c r="G46" i="5"/>
  <c r="G45" i="5" s="1"/>
  <c r="H45" i="5"/>
  <c r="H41" i="5"/>
  <c r="H43" i="5" s="1"/>
  <c r="U41" i="5"/>
  <c r="U43" i="5" s="1"/>
  <c r="I46" i="5"/>
  <c r="I45" i="5" s="1"/>
  <c r="Q41" i="5"/>
  <c r="Q43" i="5" s="1"/>
  <c r="J23" i="5"/>
  <c r="J72" i="5"/>
  <c r="J22" i="5"/>
  <c r="O26" i="5" l="1"/>
  <c r="M26" i="5"/>
  <c r="L26" i="5"/>
  <c r="L33" i="5" s="1"/>
  <c r="N26" i="5"/>
  <c r="N33" i="5" s="1"/>
  <c r="P26" i="5"/>
  <c r="P33" i="5" s="1"/>
  <c r="H26" i="5"/>
  <c r="Z29" i="5"/>
  <c r="AA29" i="5"/>
  <c r="I26" i="5"/>
  <c r="G26" i="5"/>
  <c r="AC29" i="5"/>
  <c r="AB29" i="5"/>
  <c r="J26" i="5"/>
  <c r="J33" i="5" s="1"/>
  <c r="K22" i="5"/>
  <c r="K72" i="5"/>
  <c r="K23" i="5"/>
  <c r="J35" i="5" l="1"/>
  <c r="I33" i="5"/>
  <c r="I35" i="5" s="1"/>
  <c r="O30" i="5"/>
  <c r="O33" i="5"/>
  <c r="H30" i="5"/>
  <c r="H33" i="5"/>
  <c r="H35" i="5" s="1"/>
  <c r="M30" i="5"/>
  <c r="M33" i="5"/>
  <c r="M35" i="5" s="1"/>
  <c r="G30" i="5"/>
  <c r="G33" i="5"/>
  <c r="G35" i="5" s="1"/>
  <c r="P30" i="5"/>
  <c r="P35" i="5"/>
  <c r="L30" i="5"/>
  <c r="L35" i="5"/>
  <c r="N30" i="5"/>
  <c r="N35" i="5"/>
  <c r="I30" i="5"/>
  <c r="K26" i="5"/>
  <c r="K33" i="5" s="1"/>
  <c r="J30" i="5"/>
  <c r="Q72" i="5"/>
  <c r="Q22" i="5"/>
  <c r="Q23" i="5"/>
  <c r="J37" i="5" l="1"/>
  <c r="I37" i="5"/>
  <c r="I51" i="5" s="1"/>
  <c r="K35" i="5"/>
  <c r="O35" i="5"/>
  <c r="H37" i="5"/>
  <c r="M37" i="5"/>
  <c r="M51" i="5" s="1"/>
  <c r="G37" i="5"/>
  <c r="G51" i="5" s="1"/>
  <c r="L37" i="5"/>
  <c r="N37" i="5"/>
  <c r="P37" i="5"/>
  <c r="P51" i="5" s="1"/>
  <c r="K30" i="5"/>
  <c r="Q26" i="5"/>
  <c r="Q33" i="5" s="1"/>
  <c r="R72" i="5"/>
  <c r="R23" i="5"/>
  <c r="R22" i="5"/>
  <c r="O37" i="5" l="1"/>
  <c r="I57" i="5"/>
  <c r="H51" i="5"/>
  <c r="H57" i="5" s="1"/>
  <c r="N51" i="5"/>
  <c r="N57" i="5" s="1"/>
  <c r="P57" i="5"/>
  <c r="M57" i="5"/>
  <c r="L51" i="5"/>
  <c r="L57" i="5" s="1"/>
  <c r="J51" i="5"/>
  <c r="J57" i="5" s="1"/>
  <c r="G57" i="5"/>
  <c r="G58" i="5" s="1"/>
  <c r="G75" i="5" s="1"/>
  <c r="K37" i="5"/>
  <c r="K51" i="5" s="1"/>
  <c r="Q35" i="5"/>
  <c r="G52" i="5"/>
  <c r="Q30" i="5"/>
  <c r="R26" i="5"/>
  <c r="S23" i="5"/>
  <c r="S72" i="5"/>
  <c r="S22" i="5"/>
  <c r="Q37" i="5" l="1"/>
  <c r="H52" i="5"/>
  <c r="I52" i="5" s="1"/>
  <c r="J52" i="5" s="1"/>
  <c r="H58" i="5"/>
  <c r="I76" i="5" s="1"/>
  <c r="O51" i="5"/>
  <c r="O57" i="5" s="1"/>
  <c r="H76" i="5"/>
  <c r="K57" i="5"/>
  <c r="R30" i="5"/>
  <c r="R33" i="5"/>
  <c r="R35" i="5" s="1"/>
  <c r="S26" i="5"/>
  <c r="T22" i="5"/>
  <c r="T72" i="5"/>
  <c r="T23" i="5"/>
  <c r="H75" i="5" l="1"/>
  <c r="I58" i="5"/>
  <c r="I75" i="5" s="1"/>
  <c r="Q51" i="5"/>
  <c r="Q57" i="5" s="1"/>
  <c r="K52" i="5"/>
  <c r="L52" i="5" s="1"/>
  <c r="M52" i="5" s="1"/>
  <c r="N52" i="5" s="1"/>
  <c r="O52" i="5" s="1"/>
  <c r="P52" i="5" s="1"/>
  <c r="S33" i="5"/>
  <c r="S35" i="5" s="1"/>
  <c r="R37" i="5"/>
  <c r="R51" i="5" s="1"/>
  <c r="S30" i="5"/>
  <c r="T26" i="5"/>
  <c r="U72" i="5"/>
  <c r="U22" i="5"/>
  <c r="U23" i="5"/>
  <c r="J76" i="5" l="1"/>
  <c r="Q52" i="5"/>
  <c r="R52" i="5" s="1"/>
  <c r="J58" i="5"/>
  <c r="K76" i="5" s="1"/>
  <c r="S37" i="5"/>
  <c r="S51" i="5" s="1"/>
  <c r="T33" i="5"/>
  <c r="T35" i="5" s="1"/>
  <c r="R57" i="5"/>
  <c r="T30" i="5"/>
  <c r="U26" i="5"/>
  <c r="K58" i="5" l="1"/>
  <c r="L58" i="5" s="1"/>
  <c r="J75" i="5"/>
  <c r="S52" i="5"/>
  <c r="T37" i="5"/>
  <c r="S57" i="5"/>
  <c r="U33" i="5"/>
  <c r="U35" i="5" s="1"/>
  <c r="U30" i="5"/>
  <c r="K75" i="5" l="1"/>
  <c r="L76" i="5"/>
  <c r="U37" i="5"/>
  <c r="U51" i="5" s="1"/>
  <c r="T51" i="5"/>
  <c r="T52" i="5" s="1"/>
  <c r="M58" i="5"/>
  <c r="M76" i="5"/>
  <c r="L75" i="5"/>
  <c r="U52" i="5" l="1"/>
  <c r="T57" i="5"/>
  <c r="U57" i="5"/>
  <c r="G61" i="5" s="1"/>
  <c r="O18" i="3" s="1"/>
  <c r="N58" i="5"/>
  <c r="N76" i="5"/>
  <c r="M75" i="5"/>
  <c r="O58" i="5" l="1"/>
  <c r="O76" i="5"/>
  <c r="N75" i="5"/>
  <c r="P58" i="5" l="1"/>
  <c r="P75" i="5" s="1"/>
  <c r="P76" i="5"/>
  <c r="O75" i="5"/>
  <c r="Q58" i="5" l="1"/>
  <c r="Q76" i="5"/>
  <c r="R76" i="5" l="1"/>
  <c r="R58" i="5"/>
  <c r="Q75" i="5"/>
  <c r="S58" i="5" l="1"/>
  <c r="S76" i="5"/>
  <c r="R75" i="5"/>
  <c r="T58" i="5" l="1"/>
  <c r="T76" i="5"/>
  <c r="S75" i="5"/>
  <c r="U76" i="5" l="1"/>
  <c r="U58" i="5"/>
  <c r="T75" i="5"/>
  <c r="G60" i="5" l="1"/>
  <c r="U75" i="5"/>
  <c r="D76" i="5" l="1"/>
  <c r="D77" i="5" s="1"/>
  <c r="J36" i="3" s="1"/>
  <c r="G62" i="5"/>
  <c r="O17" i="3"/>
  <c r="D78" i="5" l="1"/>
  <c r="J32" i="3" s="1"/>
  <c r="O19" i="3"/>
  <c r="G81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Syngenta</author>
    <author>Alexander Modrow</author>
  </authors>
  <commentList>
    <comment ref="D18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Syngenta:</t>
        </r>
        <r>
          <rPr>
            <sz val="9"/>
            <color indexed="81"/>
            <rFont val="Tahoma"/>
            <family val="2"/>
          </rPr>
          <t xml:space="preserve">
To account for the Breeding Research cost, in case planned as a separate PI in SmC and is attributable to multiple Breeding Development Projects. (E.g. Corn). Please indicate the PI number.</t>
        </r>
      </text>
    </comment>
    <comment ref="D29" authorId="1" shapeId="0" xr:uid="{00000000-0006-0000-0500-000002000000}">
      <text>
        <r>
          <rPr>
            <sz val="8"/>
            <color indexed="81"/>
            <rFont val="Tahoma"/>
            <family val="2"/>
          </rPr>
          <t>Text entry field</t>
        </r>
      </text>
    </comment>
    <comment ref="D32" authorId="1" shapeId="0" xr:uid="{00000000-0006-0000-0500-000003000000}">
      <text>
        <r>
          <rPr>
            <sz val="8"/>
            <color indexed="81"/>
            <rFont val="Tahoma"/>
            <family val="2"/>
          </rPr>
          <t>Text entry field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Alexander Modrow</author>
  </authors>
  <commentList>
    <comment ref="W3" authorId="0" shapeId="0" xr:uid="{00000000-0006-0000-0600-000001000000}">
      <text>
        <r>
          <rPr>
            <sz val="8"/>
            <color indexed="81"/>
            <rFont val="Tahoma"/>
            <family val="2"/>
          </rPr>
          <t>used for sensitivity matrix</t>
        </r>
      </text>
    </comment>
  </commentList>
</comments>
</file>

<file path=xl/sharedStrings.xml><?xml version="1.0" encoding="utf-8"?>
<sst xmlns="http://schemas.openxmlformats.org/spreadsheetml/2006/main" count="331" uniqueCount="248">
  <si>
    <t>Comments</t>
  </si>
  <si>
    <t>Category</t>
  </si>
  <si>
    <t>UoM</t>
  </si>
  <si>
    <t>Assumes steady decline of project sales and ultimate phase out</t>
  </si>
  <si>
    <t>Parameter</t>
  </si>
  <si>
    <t>Value</t>
  </si>
  <si>
    <t>Function Expense</t>
  </si>
  <si>
    <t>Corporate Tax</t>
  </si>
  <si>
    <t>CASH FLOW</t>
  </si>
  <si>
    <t>Total NPV</t>
  </si>
  <si>
    <t>BUSINESS CONTRIBUTION</t>
  </si>
  <si>
    <t>CALCULATION MODEL</t>
  </si>
  <si>
    <r>
      <t xml:space="preserve">MS&amp;D ongoing </t>
    </r>
    <r>
      <rPr>
        <u/>
        <sz val="10"/>
        <rFont val="Arial"/>
        <family val="2"/>
      </rPr>
      <t>variable</t>
    </r>
    <r>
      <rPr>
        <sz val="10"/>
        <rFont val="Arial"/>
        <family val="2"/>
      </rPr>
      <t xml:space="preserve"> (% Sales)</t>
    </r>
  </si>
  <si>
    <t>INPUT Table</t>
  </si>
  <si>
    <t>(% sales)</t>
  </si>
  <si>
    <t>Reference Product:</t>
  </si>
  <si>
    <t>(Name)</t>
  </si>
  <si>
    <t>PROJECT STANDALONE:</t>
  </si>
  <si>
    <t>(k USD)</t>
  </si>
  <si>
    <t>Total:</t>
  </si>
  <si>
    <t>Base Year</t>
  </si>
  <si>
    <t>Product Safety</t>
  </si>
  <si>
    <t>Year of first sales:</t>
  </si>
  <si>
    <t>DISCOUNT FACTOR (mid year)</t>
  </si>
  <si>
    <t>Discounted CASH FLOW</t>
  </si>
  <si>
    <t>10 yr Cash Flow NPV</t>
  </si>
  <si>
    <t>Terminal Value NPV ("10% decline")</t>
  </si>
  <si>
    <t>NPV:</t>
  </si>
  <si>
    <t>base</t>
  </si>
  <si>
    <t>Sensitivities NPV:</t>
  </si>
  <si>
    <t>Year</t>
  </si>
  <si>
    <t>k USD</t>
  </si>
  <si>
    <t>% Sales</t>
  </si>
  <si>
    <t>(% Sales)</t>
  </si>
  <si>
    <t>(name)</t>
  </si>
  <si>
    <t>Payback:</t>
  </si>
  <si>
    <t>Years</t>
  </si>
  <si>
    <t>Cumulative</t>
  </si>
  <si>
    <t>10 yr Cash Flow NPV:</t>
  </si>
  <si>
    <t>Terminal Value NPV ("10% decline"):</t>
  </si>
  <si>
    <t>Total NPV:</t>
  </si>
  <si>
    <t>MS&amp;D launch cost (% peak sales)</t>
  </si>
  <si>
    <t>working:</t>
  </si>
  <si>
    <t>Sales*</t>
  </si>
  <si>
    <t>Payback years:</t>
  </si>
  <si>
    <t>Peak Sales standalone:</t>
  </si>
  <si>
    <t>FACTOR</t>
  </si>
  <si>
    <t>Other Calculations</t>
  </si>
  <si>
    <t>+20%</t>
  </si>
  <si>
    <t>Sensitivity matrix:</t>
  </si>
  <si>
    <t>BUSINESS CASE Summary</t>
  </si>
  <si>
    <t>Other KPI's:</t>
  </si>
  <si>
    <t xml:space="preserve">Total Development Expense: </t>
  </si>
  <si>
    <t>Peak Sales Standalone:</t>
  </si>
  <si>
    <t>Objectives:</t>
  </si>
  <si>
    <t>Remarks:</t>
  </si>
  <si>
    <t>Provides parameters common to all Business Cases</t>
  </si>
  <si>
    <t>Calculation model</t>
  </si>
  <si>
    <t>= Input cells</t>
  </si>
  <si>
    <t>Referenece Product:</t>
  </si>
  <si>
    <t>Referenece GP %:</t>
  </si>
  <si>
    <t>CANNIBALIZATION:</t>
  </si>
  <si>
    <t>A. Sales:</t>
  </si>
  <si>
    <t>B. Gross Profit:</t>
  </si>
  <si>
    <t>Sales Standalone:</t>
  </si>
  <si>
    <t>Sales Cannibalization:</t>
  </si>
  <si>
    <t>GP Standalone:</t>
  </si>
  <si>
    <t>GP Cannibalization:</t>
  </si>
  <si>
    <r>
      <t xml:space="preserve">B. Gross Profit </t>
    </r>
    <r>
      <rPr>
        <sz val="10"/>
        <rFont val="Arial"/>
        <family val="2"/>
      </rPr>
      <t>(at peak sales)</t>
    </r>
    <r>
      <rPr>
        <b/>
        <sz val="10"/>
        <rFont val="Arial"/>
        <family val="2"/>
      </rPr>
      <t>:</t>
    </r>
  </si>
  <si>
    <t>Project Title:</t>
  </si>
  <si>
    <t>Satus:</t>
  </si>
  <si>
    <t>Manager:</t>
  </si>
  <si>
    <t>Project Sub Type:</t>
  </si>
  <si>
    <t>Sales factor</t>
  </si>
  <si>
    <t>Gross Profit</t>
  </si>
  <si>
    <t>Gross Profit*</t>
  </si>
  <si>
    <t>Product Name:</t>
  </si>
  <si>
    <r>
      <t xml:space="preserve">Total Development Expense </t>
    </r>
    <r>
      <rPr>
        <i/>
        <sz val="10"/>
        <rFont val="Arial"/>
        <family val="2"/>
      </rPr>
      <t>(as of planning status):</t>
    </r>
  </si>
  <si>
    <t>Depreciation on CAPEX (Years)</t>
  </si>
  <si>
    <t>Inventory movements</t>
  </si>
  <si>
    <t>Accounts Payable movements</t>
  </si>
  <si>
    <t>Accounts Receivables movements</t>
  </si>
  <si>
    <t>Development maintenance (%Sales)</t>
  </si>
  <si>
    <t>MS&amp;D ongoing Standalone</t>
  </si>
  <si>
    <t>Other Satndalone</t>
  </si>
  <si>
    <t>MS&amp;D launch Standalone</t>
  </si>
  <si>
    <t>Total FE Standalone</t>
  </si>
  <si>
    <t>Development maintenance Cannibalization</t>
  </si>
  <si>
    <t>MS&amp;D ongoing Cannibalization</t>
  </si>
  <si>
    <t>Total FE Cannibalization</t>
  </si>
  <si>
    <t>Total FE Incremental</t>
  </si>
  <si>
    <t>A. Sales Incremental</t>
  </si>
  <si>
    <t>B. Gross Profit Incremental</t>
  </si>
  <si>
    <t>Sales Incremental</t>
  </si>
  <si>
    <t>GP Incremental</t>
  </si>
  <si>
    <t>BC Standalone</t>
  </si>
  <si>
    <t>BC Incremental</t>
  </si>
  <si>
    <t>BC Cannibalization</t>
  </si>
  <si>
    <t>Discrete</t>
  </si>
  <si>
    <t>current</t>
  </si>
  <si>
    <t>Avg. Inventory as % COGS</t>
  </si>
  <si>
    <t>Totals</t>
  </si>
  <si>
    <t>Project Profitability Index:</t>
  </si>
  <si>
    <t>Discount rate</t>
  </si>
  <si>
    <t>Avg. Depreciation (% COGS)</t>
  </si>
  <si>
    <t>H. Working Capital movement Incremental</t>
  </si>
  <si>
    <t>G. Tax shield from Depreciation</t>
  </si>
  <si>
    <t>F. Depreciation (average of COGS)</t>
  </si>
  <si>
    <t>Project CAPEX:</t>
  </si>
  <si>
    <t>Current Year</t>
  </si>
  <si>
    <t>Avg. Net Trade Working Capital</t>
  </si>
  <si>
    <t>Avg. Accounts receivables as % Sales</t>
  </si>
  <si>
    <t>Avg. Accounts payable as % Sales</t>
  </si>
  <si>
    <t>* relative movement applied on Incremental Case</t>
  </si>
  <si>
    <t>Gross Profit Standalone:</t>
  </si>
  <si>
    <t>Distributed equally in 3 years, starting one year ahead of the year with first sales</t>
  </si>
  <si>
    <t>forward looking</t>
  </si>
  <si>
    <t>Years to Analyze</t>
  </si>
  <si>
    <t>Unit</t>
  </si>
  <si>
    <t>Gross Profit Reference Product</t>
  </si>
  <si>
    <t>Other Expense</t>
  </si>
  <si>
    <t>(please specify)</t>
  </si>
  <si>
    <r>
      <t>Total Development Expense</t>
    </r>
    <r>
      <rPr>
        <sz val="10"/>
        <rFont val="Arial"/>
        <family val="2"/>
      </rPr>
      <t>:</t>
    </r>
  </si>
  <si>
    <t>Press F9 to refresh calcualtion</t>
  </si>
  <si>
    <t>Lead AI:</t>
  </si>
  <si>
    <t>Project Status:</t>
  </si>
  <si>
    <t>1.2 Project Responsibilities</t>
  </si>
  <si>
    <t>Product Line:</t>
  </si>
  <si>
    <t>Project Manager:</t>
  </si>
  <si>
    <t>Project Owner:</t>
  </si>
  <si>
    <t>Project Type:</t>
  </si>
  <si>
    <t>Business Case Owner:</t>
  </si>
  <si>
    <t>Product Concept:</t>
  </si>
  <si>
    <t>Crop/Market Dynamics:</t>
  </si>
  <si>
    <t>External Competitor Dynamics:</t>
  </si>
  <si>
    <t>Give a short overview of potential internal products cannibalized by the Project (as assumed in the financial Business Case)</t>
  </si>
  <si>
    <t>2. Project Rational</t>
  </si>
  <si>
    <t>3. Other Assumptions</t>
  </si>
  <si>
    <t>Project Information/Rational and leading Assumptions</t>
  </si>
  <si>
    <t>1. Basic Project Information:</t>
  </si>
  <si>
    <t>1.1 General Project Information:</t>
  </si>
  <si>
    <t>Business rational and Benefits:</t>
  </si>
  <si>
    <t>Main assumptions and/or challenges to project uncertainties and risks (e.g. Regulatory)</t>
  </si>
  <si>
    <t>Development Expense</t>
  </si>
  <si>
    <t>Highlight assumptions underpining the Gross Profit margin. Indicate potential existing reference product justifying the GP assumption</t>
  </si>
  <si>
    <t>Other</t>
  </si>
  <si>
    <t>A. Project RATIONAL and ASSUMPTION</t>
  </si>
  <si>
    <t>Describe the target Market(s) and list countries gaining top line contribution from the project (as assumed in the financial Business Case)</t>
  </si>
  <si>
    <t>Target Markets (Crop and Geography):</t>
  </si>
  <si>
    <t>Reflect main assumptions taken for the Development investment</t>
  </si>
  <si>
    <t>Cannibalization (Internal Competition):</t>
  </si>
  <si>
    <t>Reflect any other assumption relevant to justify the Project case</t>
  </si>
  <si>
    <t>B. INPUT Sheet:</t>
  </si>
  <si>
    <t>C. CALCULATION MODEL:</t>
  </si>
  <si>
    <t>D. SUMMARY:</t>
  </si>
  <si>
    <r>
      <t xml:space="preserve">Business Case summary to reflect main KPI's. Standardized format. </t>
    </r>
    <r>
      <rPr>
        <b/>
        <sz val="10"/>
        <rFont val="Arial"/>
        <family val="2"/>
      </rPr>
      <t>No input required</t>
    </r>
    <r>
      <rPr>
        <sz val="10"/>
        <rFont val="Arial"/>
        <family val="2"/>
      </rPr>
      <t xml:space="preserve"> (refers back to Input and Calculation model). Visible to the user.</t>
    </r>
  </si>
  <si>
    <t xml:space="preserve">Financial Business Case input interface </t>
  </si>
  <si>
    <r>
      <t xml:space="preserve">Reflects </t>
    </r>
    <r>
      <rPr>
        <b/>
        <sz val="10"/>
        <rFont val="Arial"/>
        <family val="2"/>
      </rPr>
      <t>calculation methodology; no input required</t>
    </r>
    <r>
      <rPr>
        <sz val="10"/>
        <rFont val="Arial"/>
        <family val="2"/>
      </rPr>
      <t>. Uses data from the Common Parameter sheet and the input completed by the user. No input required. Visible to the user but on different screen than the input screen</t>
    </r>
  </si>
  <si>
    <t>Business Case Rational and supportive Assumptions</t>
  </si>
  <si>
    <t>Business Case Summary
(Standardized Format)</t>
  </si>
  <si>
    <t>Describe shortly the future product positioning: Key product features, Key customer benefits, Key differnetiator, competitive advantage</t>
  </si>
  <si>
    <t>Key reasons for this project to be pursued. Answer following questions: Major market threat or opportunity this project addresses; Major Syngenta portfolio gap this project is filling</t>
  </si>
  <si>
    <t>Describe the key market drivers relevant for the targeted submarket and associated assumptions. Quantify following critical metrics for this targeted submarket: current submarket size ($m), expected CAGR% over next 5-10 years. Syngenta current value market share</t>
  </si>
  <si>
    <t>List major competitive products established on the targeted submarket and their current market share. List major expected competitive product launches. List major expected generic competitors</t>
  </si>
  <si>
    <t>This information is available in the portfolio &amp; project management tool  for all supported new project proposals. Contact the relevant member of the Global Product Portfolio Group Basel for details.</t>
  </si>
  <si>
    <t>Project ID:</t>
  </si>
  <si>
    <t>Project-Title:</t>
  </si>
  <si>
    <t>This sheet does not require any manual input</t>
  </si>
  <si>
    <t>Main Risk/Uncertainties:</t>
  </si>
  <si>
    <t>Actions to mitigate Risk/Uncertainty 
(mandatory for Project type: Idea Evaluation!):</t>
  </si>
  <si>
    <t>List specific actions to mitigate each of the risks and uncertainties listed above (in particular for Project Type: Idea Evaluation)</t>
  </si>
  <si>
    <t>Remark: Enter potential cannibalized sales starting with the first year of project standalone sales</t>
  </si>
  <si>
    <t>Reference Page/Tab:</t>
  </si>
  <si>
    <t>0. COMMON PARAMETERS (sheet is hidden):</t>
  </si>
  <si>
    <r>
      <t>Collects all relevant</t>
    </r>
    <r>
      <rPr>
        <b/>
        <sz val="10"/>
        <rFont val="Arial"/>
        <family val="2"/>
      </rPr>
      <t xml:space="preserve"> project information other than the financial case</t>
    </r>
    <r>
      <rPr>
        <sz val="10"/>
        <rFont val="Arial"/>
        <family val="2"/>
      </rPr>
      <t xml:space="preserve"> (e.g. General information, Responsibilities and Assumptions).  </t>
    </r>
  </si>
  <si>
    <r>
      <t>Common Parameters (fixed for the given investment cycle)</t>
    </r>
    <r>
      <rPr>
        <sz val="10"/>
        <rFont val="Arial"/>
        <family val="2"/>
      </rPr>
      <t xml:space="preserve"> will be updated centrally on a yearly basis ahead of the investment cycle. Visible to the user but without any possibility to change entries.
</t>
    </r>
  </si>
  <si>
    <r>
      <t xml:space="preserve">Main </t>
    </r>
    <r>
      <rPr>
        <b/>
        <sz val="10"/>
        <rFont val="Arial"/>
        <family val="2"/>
      </rPr>
      <t>input interface for the financial business case</t>
    </r>
    <r>
      <rPr>
        <sz val="10"/>
        <rFont val="Arial"/>
        <family val="2"/>
      </rPr>
      <t xml:space="preserve">. Reflects on one page all project specific input required. Separates between Project Standalone inputs and inputs required for potential cannibalization. </t>
    </r>
  </si>
  <si>
    <t>n/a</t>
  </si>
  <si>
    <t>Do not change, except Discount rate, if necessary</t>
  </si>
  <si>
    <t>Assumed that projects start in the mid-year</t>
  </si>
  <si>
    <t>Bilogical Assessment</t>
  </si>
  <si>
    <t>Breeders &amp; Project Leads</t>
  </si>
  <si>
    <t>Other R&amp;D</t>
  </si>
  <si>
    <t>D. Function Expense:</t>
  </si>
  <si>
    <t>E. Capital Investment:</t>
  </si>
  <si>
    <t>C. In/Out licensing:</t>
  </si>
  <si>
    <t>Out-licensing</t>
  </si>
  <si>
    <r>
      <t>In-licensing (</t>
    </r>
    <r>
      <rPr>
        <i/>
        <sz val="10"/>
        <rFont val="Arial"/>
        <family val="2"/>
      </rPr>
      <t>germplasm ?</t>
    </r>
    <r>
      <rPr>
        <sz val="10"/>
        <rFont val="Arial"/>
        <family val="2"/>
      </rPr>
      <t>)</t>
    </r>
  </si>
  <si>
    <r>
      <t>Out-licensing (</t>
    </r>
    <r>
      <rPr>
        <i/>
        <sz val="10"/>
        <rFont val="Arial"/>
        <family val="2"/>
      </rPr>
      <t>germplasm ?</t>
    </r>
    <r>
      <rPr>
        <sz val="10"/>
        <rFont val="Arial"/>
        <family val="2"/>
      </rPr>
      <t>)</t>
    </r>
  </si>
  <si>
    <t>(+)</t>
  </si>
  <si>
    <t>(-)</t>
  </si>
  <si>
    <t xml:space="preserve">In-licensing </t>
  </si>
  <si>
    <t>Licensing Total</t>
  </si>
  <si>
    <t>D. Function Expense</t>
  </si>
  <si>
    <t>E. Tax Charge Incremental</t>
  </si>
  <si>
    <t>F. Capital Investment</t>
  </si>
  <si>
    <t>R&amp;D Standalone</t>
  </si>
  <si>
    <t>R&amp;D maintenance Standalone</t>
  </si>
  <si>
    <t>R&amp;D Project Cost</t>
  </si>
  <si>
    <t>Present value R&amp;D Investment</t>
  </si>
  <si>
    <t>Annual growth rate beyond 15yr horizon</t>
  </si>
  <si>
    <t xml:space="preserve">scenario "C" </t>
  </si>
  <si>
    <t xml:space="preserve">scenario "A" </t>
  </si>
  <si>
    <t>Market Value</t>
  </si>
  <si>
    <t>K$</t>
  </si>
  <si>
    <t>Market CAGR</t>
  </si>
  <si>
    <t>Market Share</t>
  </si>
  <si>
    <t>Market</t>
  </si>
  <si>
    <t>base case: no investments, gradual loss of marketshare</t>
  </si>
  <si>
    <t>This sales is called " cannibalization" in the BC for Breeding projects</t>
  </si>
  <si>
    <t>MS%</t>
  </si>
  <si>
    <t>Sales M$</t>
  </si>
  <si>
    <t>Value creation scenario; c'nued investment, growing MS%</t>
  </si>
  <si>
    <t>Annual R&amp;D Cost</t>
  </si>
  <si>
    <t>R&amp;D Costs (including technology)</t>
  </si>
  <si>
    <t>NPV = Net Present Value</t>
  </si>
  <si>
    <t>R&amp;D Project = investment (= cost per year over multiple years)</t>
  </si>
  <si>
    <t>2 questions:</t>
  </si>
  <si>
    <t>1) size of the investment</t>
  </si>
  <si>
    <t>2) revenue</t>
  </si>
  <si>
    <t>Project Profitability Index</t>
  </si>
  <si>
    <t>Generated value / the present value of R&amp;D expense</t>
  </si>
  <si>
    <t xml:space="preserve">Loss of marketshare is </t>
  </si>
  <si>
    <t>per year</t>
  </si>
  <si>
    <t>Growth of marketshare is</t>
  </si>
  <si>
    <t>Benchmark: Average return on stocks : 12%</t>
  </si>
  <si>
    <t>Net = total of in- and out cashflow</t>
  </si>
  <si>
    <t>Present = calculated value of future cashflow - discounted</t>
  </si>
  <si>
    <t>any</t>
  </si>
  <si>
    <t>FILL IN YELLOW FIELDS ONLY</t>
  </si>
  <si>
    <t>You can change the value in cell D13</t>
  </si>
  <si>
    <t>You can change the value in cell D20</t>
  </si>
  <si>
    <t>YEAR:</t>
  </si>
  <si>
    <t>This % is dependent on academic/business environment</t>
  </si>
  <si>
    <t>For Breedin,g however, it's assumed to be zero as it's an ongoing investment .</t>
  </si>
  <si>
    <t xml:space="preserve">COMMON CALCULATION PARAMETERS </t>
  </si>
  <si>
    <t xml:space="preserve">#1 </t>
  </si>
  <si>
    <t>Tomato Open Field West Africa Dry Season</t>
  </si>
  <si>
    <t>Proposed</t>
  </si>
  <si>
    <t>Vivienne Anthony</t>
  </si>
  <si>
    <t>Syngenta Foundation</t>
  </si>
  <si>
    <t>Breeding Research</t>
  </si>
  <si>
    <t>This is the total seed value in 1000 $</t>
  </si>
  <si>
    <t>This is the annual growth of the market</t>
  </si>
  <si>
    <t>This is the market share of the entity you are working for</t>
  </si>
  <si>
    <t>COMMENTS</t>
  </si>
  <si>
    <t>This is all the costs you make in the breeding program</t>
  </si>
  <si>
    <t>This is the seed sales price minus the COGS - cost of goods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</si>
</sst>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* #,##0.00_);_(* \(#,##0.00\);_(* &quot;-&quot;??_);_(@_)"/>
    <numFmt numFmtId="165" formatCode="0.0%"/>
    <numFmt numFmtId="166" formatCode="#,##0.000"/>
    <numFmt numFmtId="167" formatCode="0.000"/>
    <numFmt numFmtId="168" formatCode="0.0"/>
    <numFmt numFmtId="169" formatCode="#,##0_ ;[Red]\-#,##0\ "/>
    <numFmt numFmtId="170" formatCode="0_ ;[Red]\-0\ "/>
    <numFmt numFmtId="171" formatCode="#,##0.00_ ;[Red]\-#,##0.00\ "/>
    <numFmt numFmtId="172" formatCode="_ * #,##0_ ;_ * \-#,##0_ ;_ * &quot;-&quot;??_ ;_ @_ "/>
    <numFmt numFmtId="173" formatCode="_(* #,##0_);_(* \(#,##0\);_(* &quot;-&quot;??_);_(@_)"/>
  </numFmts>
  <fonts count="3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45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i/>
      <u/>
      <sz val="10"/>
      <name val="Arial"/>
      <family val="2"/>
    </font>
    <font>
      <sz val="10"/>
      <color indexed="10"/>
      <name val="Arial"/>
      <family val="2"/>
    </font>
    <font>
      <sz val="5"/>
      <name val="Arial"/>
      <family val="2"/>
    </font>
    <font>
      <sz val="8"/>
      <color indexed="81"/>
      <name val="Tahoma"/>
      <family val="2"/>
    </font>
    <font>
      <b/>
      <sz val="8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i/>
      <u/>
      <sz val="10"/>
      <color indexed="10"/>
      <name val="Arial"/>
      <family val="2"/>
    </font>
    <font>
      <sz val="8"/>
      <color indexed="10"/>
      <name val="Arial"/>
      <family val="2"/>
    </font>
    <font>
      <i/>
      <sz val="10"/>
      <color indexed="10"/>
      <name val="Arial"/>
      <family val="2"/>
    </font>
    <font>
      <sz val="10"/>
      <color indexed="21"/>
      <name val="Arial"/>
      <family val="2"/>
    </font>
    <font>
      <b/>
      <i/>
      <sz val="10"/>
      <color indexed="15"/>
      <name val="Arial"/>
      <family val="2"/>
    </font>
    <font>
      <b/>
      <sz val="14"/>
      <name val="Arial"/>
      <family val="2"/>
    </font>
    <font>
      <sz val="10"/>
      <color indexed="15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C00000"/>
      <name val="Arial"/>
      <family val="2"/>
    </font>
    <font>
      <b/>
      <sz val="10"/>
      <color rgb="FF9C0006"/>
      <name val="Arial"/>
      <family val="2"/>
    </font>
    <font>
      <b/>
      <sz val="16"/>
      <color rgb="FFC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i/>
      <sz val="11"/>
      <color rgb="FFC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theme="0"/>
      <name val="Times New Roman"/>
      <family val="1"/>
    </font>
    <font>
      <sz val="16"/>
      <name val="Arial"/>
      <family val="2"/>
    </font>
    <font>
      <sz val="10"/>
      <name val="Arial"/>
      <family val="2"/>
      <charset val="238"/>
    </font>
    <font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50"/>
      </left>
      <right/>
      <top style="medium">
        <color indexed="50"/>
      </top>
      <bottom style="medium">
        <color indexed="50"/>
      </bottom>
      <diagonal/>
    </border>
    <border>
      <left/>
      <right style="medium">
        <color indexed="50"/>
      </right>
      <top style="medium">
        <color indexed="50"/>
      </top>
      <bottom style="medium">
        <color indexed="5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50"/>
      </left>
      <right/>
      <top style="medium">
        <color indexed="50"/>
      </top>
      <bottom/>
      <diagonal/>
    </border>
    <border>
      <left/>
      <right style="medium">
        <color indexed="50"/>
      </right>
      <top style="medium">
        <color indexed="50"/>
      </top>
      <bottom/>
      <diagonal/>
    </border>
    <border>
      <left style="medium">
        <color indexed="50"/>
      </left>
      <right/>
      <top/>
      <bottom style="medium">
        <color indexed="50"/>
      </bottom>
      <diagonal/>
    </border>
    <border>
      <left/>
      <right style="medium">
        <color indexed="50"/>
      </right>
      <top/>
      <bottom style="medium">
        <color indexed="5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4" fillId="8" borderId="0" applyNumberFormat="0" applyBorder="0" applyAlignment="0" applyProtection="0"/>
    <xf numFmtId="164" fontId="33" fillId="0" borderId="0" applyFont="0" applyFill="0" applyBorder="0" applyAlignment="0" applyProtection="0"/>
  </cellStyleXfs>
  <cellXfs count="37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/>
    <xf numFmtId="0" fontId="0" fillId="0" borderId="0" xfId="0" applyAlignment="1">
      <alignment horizont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/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vertical="center" wrapText="1"/>
    </xf>
    <xf numFmtId="0" fontId="0" fillId="2" borderId="1" xfId="0" applyFill="1" applyBorder="1"/>
    <xf numFmtId="0" fontId="3" fillId="2" borderId="0" xfId="0" applyFont="1" applyFill="1" applyBorder="1"/>
    <xf numFmtId="0" fontId="0" fillId="2" borderId="0" xfId="0" applyFill="1" applyBorder="1"/>
    <xf numFmtId="0" fontId="0" fillId="2" borderId="0" xfId="0" applyFill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/>
    </xf>
    <xf numFmtId="0" fontId="5" fillId="2" borderId="0" xfId="0" applyFont="1" applyFill="1"/>
    <xf numFmtId="0" fontId="3" fillId="2" borderId="0" xfId="0" applyFont="1" applyFill="1"/>
    <xf numFmtId="0" fontId="4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inden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indent="1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9" fillId="2" borderId="0" xfId="0" applyFont="1" applyFill="1" applyAlignment="1">
      <alignment horizontal="left" indent="1"/>
    </xf>
    <xf numFmtId="0" fontId="9" fillId="2" borderId="0" xfId="0" applyFont="1" applyFill="1" applyAlignment="1">
      <alignment horizontal="center"/>
    </xf>
    <xf numFmtId="0" fontId="0" fillId="3" borderId="0" xfId="0" applyFill="1"/>
    <xf numFmtId="0" fontId="5" fillId="3" borderId="0" xfId="0" applyFont="1" applyFill="1"/>
    <xf numFmtId="0" fontId="8" fillId="3" borderId="0" xfId="0" applyFont="1" applyFill="1"/>
    <xf numFmtId="0" fontId="10" fillId="3" borderId="0" xfId="0" applyFont="1" applyFill="1"/>
    <xf numFmtId="0" fontId="0" fillId="3" borderId="0" xfId="0" applyFill="1" applyBorder="1"/>
    <xf numFmtId="0" fontId="0" fillId="3" borderId="1" xfId="0" applyFill="1" applyBorder="1"/>
    <xf numFmtId="0" fontId="6" fillId="2" borderId="3" xfId="0" applyFont="1" applyFill="1" applyBorder="1"/>
    <xf numFmtId="3" fontId="3" fillId="4" borderId="4" xfId="0" applyNumberFormat="1" applyFont="1" applyFill="1" applyBorder="1"/>
    <xf numFmtId="3" fontId="3" fillId="4" borderId="5" xfId="0" applyNumberFormat="1" applyFont="1" applyFill="1" applyBorder="1"/>
    <xf numFmtId="3" fontId="3" fillId="4" borderId="6" xfId="0" applyNumberFormat="1" applyFont="1" applyFill="1" applyBorder="1"/>
    <xf numFmtId="0" fontId="3" fillId="3" borderId="0" xfId="0" applyFont="1" applyFill="1"/>
    <xf numFmtId="165" fontId="3" fillId="4" borderId="7" xfId="0" applyNumberFormat="1" applyFont="1" applyFill="1" applyBorder="1" applyAlignment="1">
      <alignment horizontal="center"/>
    </xf>
    <xf numFmtId="3" fontId="0" fillId="2" borderId="0" xfId="0" applyNumberFormat="1" applyFill="1"/>
    <xf numFmtId="3" fontId="3" fillId="3" borderId="7" xfId="0" applyNumberFormat="1" applyFont="1" applyFill="1" applyBorder="1"/>
    <xf numFmtId="0" fontId="3" fillId="2" borderId="3" xfId="0" applyFont="1" applyFill="1" applyBorder="1" applyAlignment="1">
      <alignment horizontal="center"/>
    </xf>
    <xf numFmtId="3" fontId="3" fillId="2" borderId="0" xfId="0" applyNumberFormat="1" applyFont="1" applyFill="1"/>
    <xf numFmtId="3" fontId="0" fillId="3" borderId="0" xfId="0" applyNumberFormat="1" applyFill="1"/>
    <xf numFmtId="0" fontId="0" fillId="3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indent="2"/>
    </xf>
    <xf numFmtId="3" fontId="6" fillId="3" borderId="8" xfId="0" applyNumberFormat="1" applyFont="1" applyFill="1" applyBorder="1"/>
    <xf numFmtId="3" fontId="0" fillId="2" borderId="0" xfId="0" applyNumberFormat="1" applyFill="1" applyBorder="1"/>
    <xf numFmtId="0" fontId="0" fillId="3" borderId="3" xfId="0" applyFill="1" applyBorder="1"/>
    <xf numFmtId="0" fontId="6" fillId="3" borderId="0" xfId="0" applyFont="1" applyFill="1" applyBorder="1"/>
    <xf numFmtId="0" fontId="6" fillId="3" borderId="2" xfId="0" applyFont="1" applyFill="1" applyBorder="1"/>
    <xf numFmtId="0" fontId="0" fillId="3" borderId="2" xfId="0" applyFill="1" applyBorder="1"/>
    <xf numFmtId="0" fontId="6" fillId="3" borderId="0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0" fillId="3" borderId="9" xfId="0" applyFill="1" applyBorder="1"/>
    <xf numFmtId="0" fontId="3" fillId="3" borderId="10" xfId="0" applyFont="1" applyFill="1" applyBorder="1"/>
    <xf numFmtId="0" fontId="0" fillId="3" borderId="10" xfId="0" applyFill="1" applyBorder="1"/>
    <xf numFmtId="0" fontId="3" fillId="3" borderId="10" xfId="0" applyFont="1" applyFill="1" applyBorder="1" applyAlignment="1">
      <alignment horizontal="center"/>
    </xf>
    <xf numFmtId="0" fontId="3" fillId="3" borderId="3" xfId="0" applyFont="1" applyFill="1" applyBorder="1"/>
    <xf numFmtId="0" fontId="0" fillId="3" borderId="0" xfId="0" applyFill="1" applyAlignment="1"/>
    <xf numFmtId="0" fontId="0" fillId="0" borderId="0" xfId="0" applyAlignment="1"/>
    <xf numFmtId="0" fontId="0" fillId="3" borderId="0" xfId="0" applyFill="1" applyBorder="1" applyAlignment="1"/>
    <xf numFmtId="3" fontId="0" fillId="3" borderId="0" xfId="0" applyNumberFormat="1" applyFill="1" applyBorder="1" applyAlignment="1">
      <alignment horizontal="right"/>
    </xf>
    <xf numFmtId="0" fontId="9" fillId="3" borderId="0" xfId="0" applyFont="1" applyFill="1"/>
    <xf numFmtId="0" fontId="9" fillId="3" borderId="0" xfId="0" applyFont="1" applyFill="1" applyBorder="1"/>
    <xf numFmtId="14" fontId="0" fillId="3" borderId="0" xfId="0" applyNumberFormat="1" applyFill="1" applyAlignment="1">
      <alignment horizontal="right"/>
    </xf>
    <xf numFmtId="0" fontId="3" fillId="3" borderId="9" xfId="0" applyFont="1" applyFill="1" applyBorder="1"/>
    <xf numFmtId="0" fontId="0" fillId="0" borderId="3" xfId="0" applyBorder="1"/>
    <xf numFmtId="0" fontId="0" fillId="3" borderId="11" xfId="0" applyFill="1" applyBorder="1"/>
    <xf numFmtId="0" fontId="3" fillId="0" borderId="0" xfId="0" applyFont="1"/>
    <xf numFmtId="0" fontId="12" fillId="3" borderId="0" xfId="0" applyFont="1" applyFill="1" applyAlignment="1"/>
    <xf numFmtId="0" fontId="5" fillId="3" borderId="2" xfId="0" applyFont="1" applyFill="1" applyBorder="1"/>
    <xf numFmtId="14" fontId="0" fillId="3" borderId="2" xfId="0" applyNumberFormat="1" applyFill="1" applyBorder="1" applyAlignment="1">
      <alignment horizontal="right"/>
    </xf>
    <xf numFmtId="0" fontId="0" fillId="2" borderId="2" xfId="0" applyFill="1" applyBorder="1"/>
    <xf numFmtId="0" fontId="0" fillId="3" borderId="0" xfId="0" applyFill="1" applyAlignment="1">
      <alignment horizontal="center"/>
    </xf>
    <xf numFmtId="0" fontId="11" fillId="3" borderId="0" xfId="0" applyFont="1" applyFill="1" applyAlignment="1">
      <alignment horizontal="center"/>
    </xf>
    <xf numFmtId="0" fontId="0" fillId="3" borderId="0" xfId="0" applyFill="1" applyBorder="1" applyAlignment="1">
      <alignment horizontal="center"/>
    </xf>
    <xf numFmtId="166" fontId="0" fillId="2" borderId="0" xfId="0" applyNumberFormat="1" applyFill="1" applyBorder="1"/>
    <xf numFmtId="0" fontId="0" fillId="3" borderId="0" xfId="0" applyFill="1" applyBorder="1" applyAlignment="1">
      <alignment horizontal="right"/>
    </xf>
    <xf numFmtId="0" fontId="0" fillId="3" borderId="12" xfId="0" applyFill="1" applyBorder="1"/>
    <xf numFmtId="0" fontId="5" fillId="0" borderId="3" xfId="0" applyFont="1" applyBorder="1"/>
    <xf numFmtId="0" fontId="5" fillId="0" borderId="0" xfId="0" applyFont="1"/>
    <xf numFmtId="49" fontId="0" fillId="0" borderId="0" xfId="0" applyNumberFormat="1" applyAlignment="1">
      <alignment horizontal="left" vertical="top" wrapText="1"/>
    </xf>
    <xf numFmtId="0" fontId="3" fillId="2" borderId="0" xfId="0" quotePrefix="1" applyFont="1" applyFill="1"/>
    <xf numFmtId="0" fontId="3" fillId="2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3" fillId="6" borderId="13" xfId="0" applyFont="1" applyFill="1" applyBorder="1" applyAlignment="1">
      <alignment horizontal="left" indent="1"/>
    </xf>
    <xf numFmtId="0" fontId="9" fillId="4" borderId="14" xfId="0" applyFont="1" applyFill="1" applyBorder="1" applyAlignment="1">
      <alignment horizontal="center"/>
    </xf>
    <xf numFmtId="9" fontId="9" fillId="4" borderId="13" xfId="0" applyNumberFormat="1" applyFont="1" applyFill="1" applyBorder="1" applyAlignment="1">
      <alignment horizontal="center"/>
    </xf>
    <xf numFmtId="0" fontId="16" fillId="3" borderId="0" xfId="0" applyFont="1" applyFill="1" applyAlignment="1">
      <alignment horizontal="center"/>
    </xf>
    <xf numFmtId="0" fontId="0" fillId="0" borderId="0" xfId="0" applyFill="1"/>
    <xf numFmtId="3" fontId="6" fillId="3" borderId="15" xfId="0" applyNumberFormat="1" applyFont="1" applyFill="1" applyBorder="1"/>
    <xf numFmtId="0" fontId="0" fillId="0" borderId="0" xfId="0" applyBorder="1" applyAlignment="1">
      <alignment horizontal="center"/>
    </xf>
    <xf numFmtId="3" fontId="3" fillId="3" borderId="15" xfId="0" applyNumberFormat="1" applyFont="1" applyFill="1" applyBorder="1"/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165" fontId="3" fillId="3" borderId="0" xfId="0" applyNumberFormat="1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9" fontId="9" fillId="3" borderId="0" xfId="0" applyNumberFormat="1" applyFont="1" applyFill="1" applyBorder="1" applyAlignment="1">
      <alignment horizontal="center"/>
    </xf>
    <xf numFmtId="0" fontId="0" fillId="0" borderId="9" xfId="0" applyBorder="1"/>
    <xf numFmtId="0" fontId="0" fillId="4" borderId="0" xfId="0" applyFill="1"/>
    <xf numFmtId="0" fontId="17" fillId="3" borderId="0" xfId="0" applyFont="1" applyFill="1"/>
    <xf numFmtId="0" fontId="16" fillId="3" borderId="0" xfId="0" applyFont="1" applyFill="1"/>
    <xf numFmtId="0" fontId="16" fillId="3" borderId="0" xfId="0" applyFont="1" applyFill="1" applyAlignment="1">
      <alignment horizontal="left" indent="1"/>
    </xf>
    <xf numFmtId="0" fontId="18" fillId="3" borderId="0" xfId="0" applyFont="1" applyFill="1" applyAlignment="1">
      <alignment horizontal="center"/>
    </xf>
    <xf numFmtId="0" fontId="18" fillId="3" borderId="0" xfId="0" applyFont="1" applyFill="1"/>
    <xf numFmtId="0" fontId="19" fillId="3" borderId="0" xfId="0" applyFont="1" applyFill="1"/>
    <xf numFmtId="3" fontId="16" fillId="3" borderId="0" xfId="0" applyNumberFormat="1" applyFont="1" applyFill="1" applyAlignment="1">
      <alignment horizontal="center"/>
    </xf>
    <xf numFmtId="167" fontId="18" fillId="3" borderId="0" xfId="0" applyNumberFormat="1" applyFont="1" applyFill="1" applyAlignment="1">
      <alignment horizontal="center"/>
    </xf>
    <xf numFmtId="166" fontId="18" fillId="3" borderId="0" xfId="0" applyNumberFormat="1" applyFont="1" applyFill="1"/>
    <xf numFmtId="168" fontId="16" fillId="3" borderId="0" xfId="0" applyNumberFormat="1" applyFont="1" applyFill="1" applyAlignment="1">
      <alignment horizontal="center"/>
    </xf>
    <xf numFmtId="0" fontId="16" fillId="3" borderId="0" xfId="0" applyFont="1" applyFill="1" applyBorder="1"/>
    <xf numFmtId="0" fontId="16" fillId="3" borderId="0" xfId="0" applyFont="1" applyFill="1" applyBorder="1" applyAlignment="1">
      <alignment horizontal="center"/>
    </xf>
    <xf numFmtId="0" fontId="16" fillId="3" borderId="16" xfId="0" applyFont="1" applyFill="1" applyBorder="1" applyAlignment="1">
      <alignment horizontal="center"/>
    </xf>
    <xf numFmtId="0" fontId="16" fillId="3" borderId="17" xfId="0" applyFont="1" applyFill="1" applyBorder="1"/>
    <xf numFmtId="0" fontId="19" fillId="3" borderId="18" xfId="0" applyFont="1" applyFill="1" applyBorder="1" applyAlignment="1">
      <alignment horizontal="center"/>
    </xf>
    <xf numFmtId="0" fontId="16" fillId="3" borderId="19" xfId="0" applyFont="1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left" indent="2"/>
    </xf>
    <xf numFmtId="3" fontId="6" fillId="3" borderId="0" xfId="0" applyNumberFormat="1" applyFont="1" applyFill="1" applyBorder="1"/>
    <xf numFmtId="3" fontId="6" fillId="3" borderId="20" xfId="0" applyNumberFormat="1" applyFont="1" applyFill="1" applyBorder="1"/>
    <xf numFmtId="0" fontId="3" fillId="2" borderId="21" xfId="0" applyFont="1" applyFill="1" applyBorder="1" applyAlignment="1">
      <alignment horizontal="left" indent="1"/>
    </xf>
    <xf numFmtId="0" fontId="3" fillId="2" borderId="0" xfId="0" applyFont="1" applyFill="1" applyBorder="1" applyAlignment="1">
      <alignment horizontal="left" indent="1"/>
    </xf>
    <xf numFmtId="3" fontId="3" fillId="3" borderId="0" xfId="0" applyNumberFormat="1" applyFont="1" applyFill="1" applyBorder="1"/>
    <xf numFmtId="0" fontId="8" fillId="2" borderId="0" xfId="0" applyFont="1" applyFill="1" applyBorder="1" applyAlignment="1">
      <alignment horizontal="left" indent="1"/>
    </xf>
    <xf numFmtId="0" fontId="8" fillId="2" borderId="0" xfId="0" applyFont="1" applyFill="1" applyAlignment="1">
      <alignment horizontal="center"/>
    </xf>
    <xf numFmtId="3" fontId="8" fillId="3" borderId="7" xfId="0" applyNumberFormat="1" applyFont="1" applyFill="1" applyBorder="1"/>
    <xf numFmtId="3" fontId="8" fillId="3" borderId="15" xfId="0" applyNumberFormat="1" applyFont="1" applyFill="1" applyBorder="1"/>
    <xf numFmtId="3" fontId="8" fillId="3" borderId="4" xfId="0" applyNumberFormat="1" applyFont="1" applyFill="1" applyBorder="1"/>
    <xf numFmtId="3" fontId="8" fillId="3" borderId="5" xfId="0" applyNumberFormat="1" applyFont="1" applyFill="1" applyBorder="1"/>
    <xf numFmtId="3" fontId="8" fillId="3" borderId="6" xfId="0" applyNumberFormat="1" applyFont="1" applyFill="1" applyBorder="1"/>
    <xf numFmtId="0" fontId="0" fillId="2" borderId="2" xfId="0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3" fontId="3" fillId="2" borderId="2" xfId="0" applyNumberFormat="1" applyFont="1" applyFill="1" applyBorder="1"/>
    <xf numFmtId="3" fontId="0" fillId="2" borderId="2" xfId="0" applyNumberFormat="1" applyFill="1" applyBorder="1"/>
    <xf numFmtId="0" fontId="6" fillId="2" borderId="0" xfId="0" applyFont="1" applyFill="1" applyAlignment="1">
      <alignment horizontal="left" vertical="center" wrapText="1" indent="1"/>
    </xf>
    <xf numFmtId="0" fontId="0" fillId="2" borderId="0" xfId="0" applyFill="1" applyAlignment="1">
      <alignment horizontal="left" indent="2"/>
    </xf>
    <xf numFmtId="0" fontId="3" fillId="2" borderId="0" xfId="0" applyFont="1" applyFill="1" applyBorder="1" applyAlignment="1">
      <alignment horizontal="center"/>
    </xf>
    <xf numFmtId="0" fontId="0" fillId="0" borderId="0" xfId="0" applyBorder="1"/>
    <xf numFmtId="0" fontId="3" fillId="2" borderId="0" xfId="0" applyFont="1" applyFill="1" applyAlignment="1">
      <alignment horizontal="left" indent="2"/>
    </xf>
    <xf numFmtId="0" fontId="3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1" fontId="0" fillId="0" borderId="0" xfId="0" applyNumberFormat="1"/>
    <xf numFmtId="1" fontId="16" fillId="3" borderId="0" xfId="0" applyNumberFormat="1" applyFont="1" applyFill="1" applyAlignment="1">
      <alignment horizontal="center"/>
    </xf>
    <xf numFmtId="3" fontId="8" fillId="3" borderId="0" xfId="0" applyNumberFormat="1" applyFont="1" applyFill="1" applyBorder="1"/>
    <xf numFmtId="3" fontId="3" fillId="4" borderId="7" xfId="0" applyNumberFormat="1" applyFont="1" applyFill="1" applyBorder="1"/>
    <xf numFmtId="0" fontId="3" fillId="5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9" fillId="3" borderId="22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6" fillId="3" borderId="23" xfId="0" applyFont="1" applyFill="1" applyBorder="1" applyAlignment="1">
      <alignment horizontal="center"/>
    </xf>
    <xf numFmtId="0" fontId="19" fillId="3" borderId="24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center"/>
    </xf>
    <xf numFmtId="3" fontId="0" fillId="0" borderId="0" xfId="0" applyNumberFormat="1"/>
    <xf numFmtId="0" fontId="3" fillId="3" borderId="0" xfId="0" applyFont="1" applyFill="1" applyAlignment="1">
      <alignment horizontal="left"/>
    </xf>
    <xf numFmtId="0" fontId="20" fillId="3" borderId="0" xfId="0" applyFont="1" applyFill="1" applyBorder="1" applyAlignment="1">
      <alignment horizontal="right"/>
    </xf>
    <xf numFmtId="0" fontId="3" fillId="2" borderId="3" xfId="0" applyFont="1" applyFill="1" applyBorder="1"/>
    <xf numFmtId="0" fontId="6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65" fontId="3" fillId="2" borderId="0" xfId="0" applyNumberFormat="1" applyFont="1" applyFill="1" applyBorder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0" fontId="6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170" fontId="0" fillId="2" borderId="0" xfId="0" applyNumberFormat="1" applyFill="1"/>
    <xf numFmtId="170" fontId="0" fillId="2" borderId="0" xfId="0" applyNumberFormat="1" applyFill="1" applyAlignment="1">
      <alignment horizontal="center"/>
    </xf>
    <xf numFmtId="170" fontId="0" fillId="2" borderId="3" xfId="0" applyNumberFormat="1" applyFill="1" applyBorder="1" applyAlignment="1">
      <alignment horizontal="center"/>
    </xf>
    <xf numFmtId="170" fontId="0" fillId="2" borderId="3" xfId="0" applyNumberFormat="1" applyFill="1" applyBorder="1"/>
    <xf numFmtId="1" fontId="3" fillId="7" borderId="7" xfId="0" applyNumberFormat="1" applyFont="1" applyFill="1" applyBorder="1" applyAlignment="1">
      <alignment horizontal="center"/>
    </xf>
    <xf numFmtId="1" fontId="3" fillId="7" borderId="4" xfId="0" applyNumberFormat="1" applyFont="1" applyFill="1" applyBorder="1" applyAlignment="1">
      <alignment horizontal="center"/>
    </xf>
    <xf numFmtId="3" fontId="16" fillId="3" borderId="0" xfId="0" applyNumberFormat="1" applyFont="1" applyFill="1" applyBorder="1" applyAlignment="1">
      <alignment horizontal="center"/>
    </xf>
    <xf numFmtId="0" fontId="16" fillId="3" borderId="25" xfId="0" applyFont="1" applyFill="1" applyBorder="1" applyAlignment="1">
      <alignment horizontal="center"/>
    </xf>
    <xf numFmtId="3" fontId="16" fillId="3" borderId="25" xfId="0" applyNumberFormat="1" applyFont="1" applyFill="1" applyBorder="1" applyAlignment="1">
      <alignment horizontal="center"/>
    </xf>
    <xf numFmtId="3" fontId="15" fillId="3" borderId="25" xfId="0" applyNumberFormat="1" applyFont="1" applyFill="1" applyBorder="1" applyAlignment="1">
      <alignment horizontal="center"/>
    </xf>
    <xf numFmtId="169" fontId="0" fillId="2" borderId="13" xfId="0" applyNumberFormat="1" applyFill="1" applyBorder="1"/>
    <xf numFmtId="169" fontId="3" fillId="2" borderId="4" xfId="0" applyNumberFormat="1" applyFont="1" applyFill="1" applyBorder="1"/>
    <xf numFmtId="169" fontId="3" fillId="2" borderId="5" xfId="0" applyNumberFormat="1" applyFont="1" applyFill="1" applyBorder="1"/>
    <xf numFmtId="169" fontId="3" fillId="2" borderId="6" xfId="0" applyNumberFormat="1" applyFont="1" applyFill="1" applyBorder="1"/>
    <xf numFmtId="169" fontId="3" fillId="3" borderId="0" xfId="0" applyNumberFormat="1" applyFont="1" applyFill="1" applyBorder="1" applyAlignment="1">
      <alignment horizontal="center"/>
    </xf>
    <xf numFmtId="169" fontId="3" fillId="2" borderId="12" xfId="0" applyNumberFormat="1" applyFont="1" applyFill="1" applyBorder="1"/>
    <xf numFmtId="169" fontId="3" fillId="3" borderId="0" xfId="0" applyNumberFormat="1" applyFont="1" applyFill="1"/>
    <xf numFmtId="169" fontId="3" fillId="3" borderId="0" xfId="0" applyNumberFormat="1" applyFont="1" applyFill="1" applyBorder="1"/>
    <xf numFmtId="169" fontId="6" fillId="3" borderId="0" xfId="0" applyNumberFormat="1" applyFont="1" applyFill="1" applyAlignment="1">
      <alignment horizontal="center"/>
    </xf>
    <xf numFmtId="169" fontId="0" fillId="2" borderId="26" xfId="0" applyNumberFormat="1" applyFill="1" applyBorder="1"/>
    <xf numFmtId="169" fontId="3" fillId="3" borderId="0" xfId="0" applyNumberFormat="1" applyFont="1" applyFill="1" applyAlignment="1">
      <alignment horizontal="center"/>
    </xf>
    <xf numFmtId="169" fontId="0" fillId="3" borderId="0" xfId="0" applyNumberFormat="1" applyFill="1" applyAlignment="1">
      <alignment horizontal="center"/>
    </xf>
    <xf numFmtId="169" fontId="0" fillId="2" borderId="0" xfId="0" applyNumberFormat="1" applyFill="1" applyBorder="1"/>
    <xf numFmtId="169" fontId="0" fillId="2" borderId="0" xfId="0" applyNumberFormat="1" applyFill="1"/>
    <xf numFmtId="169" fontId="0" fillId="3" borderId="0" xfId="0" applyNumberFormat="1" applyFill="1"/>
    <xf numFmtId="169" fontId="6" fillId="2" borderId="13" xfId="0" applyNumberFormat="1" applyFont="1" applyFill="1" applyBorder="1"/>
    <xf numFmtId="169" fontId="6" fillId="2" borderId="26" xfId="0" applyNumberFormat="1" applyFont="1" applyFill="1" applyBorder="1"/>
    <xf numFmtId="169" fontId="3" fillId="2" borderId="0" xfId="0" applyNumberFormat="1" applyFont="1" applyFill="1" applyAlignment="1">
      <alignment horizontal="center"/>
    </xf>
    <xf numFmtId="169" fontId="0" fillId="2" borderId="0" xfId="0" applyNumberFormat="1" applyFill="1" applyAlignment="1">
      <alignment horizontal="center"/>
    </xf>
    <xf numFmtId="169" fontId="0" fillId="3" borderId="13" xfId="0" applyNumberFormat="1" applyFill="1" applyBorder="1"/>
    <xf numFmtId="169" fontId="6" fillId="2" borderId="0" xfId="0" applyNumberFormat="1" applyFont="1" applyFill="1" applyAlignment="1">
      <alignment horizontal="center"/>
    </xf>
    <xf numFmtId="169" fontId="0" fillId="2" borderId="27" xfId="0" applyNumberFormat="1" applyFill="1" applyBorder="1"/>
    <xf numFmtId="169" fontId="6" fillId="2" borderId="0" xfId="0" applyNumberFormat="1" applyFont="1" applyFill="1" applyBorder="1" applyAlignment="1">
      <alignment horizontal="right"/>
    </xf>
    <xf numFmtId="169" fontId="3" fillId="2" borderId="7" xfId="0" applyNumberFormat="1" applyFont="1" applyFill="1" applyBorder="1"/>
    <xf numFmtId="169" fontId="6" fillId="2" borderId="0" xfId="0" applyNumberFormat="1" applyFont="1" applyFill="1" applyBorder="1" applyAlignment="1">
      <alignment horizontal="center"/>
    </xf>
    <xf numFmtId="169" fontId="3" fillId="2" borderId="0" xfId="0" applyNumberFormat="1" applyFont="1" applyFill="1" applyBorder="1" applyAlignment="1">
      <alignment horizontal="center"/>
    </xf>
    <xf numFmtId="169" fontId="3" fillId="2" borderId="0" xfId="0" applyNumberFormat="1" applyFont="1" applyFill="1" applyBorder="1"/>
    <xf numFmtId="0" fontId="3" fillId="7" borderId="7" xfId="0" applyFont="1" applyFill="1" applyBorder="1" applyAlignment="1">
      <alignment horizontal="center"/>
    </xf>
    <xf numFmtId="0" fontId="3" fillId="7" borderId="7" xfId="0" applyFont="1" applyFill="1" applyBorder="1"/>
    <xf numFmtId="0" fontId="3" fillId="3" borderId="0" xfId="0" applyFont="1" applyFill="1" applyBorder="1" applyAlignment="1">
      <alignment horizontal="left" indent="1"/>
    </xf>
    <xf numFmtId="3" fontId="3" fillId="3" borderId="2" xfId="0" applyNumberFormat="1" applyFont="1" applyFill="1" applyBorder="1"/>
    <xf numFmtId="0" fontId="2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0" fontId="23" fillId="0" borderId="0" xfId="0" applyFont="1"/>
    <xf numFmtId="0" fontId="22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49" fontId="0" fillId="2" borderId="2" xfId="0" applyNumberFormat="1" applyFill="1" applyBorder="1" applyAlignment="1">
      <alignment horizontal="left" vertical="top" wrapText="1"/>
    </xf>
    <xf numFmtId="0" fontId="0" fillId="2" borderId="2" xfId="0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49" fontId="0" fillId="2" borderId="0" xfId="0" applyNumberFormat="1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9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3" fillId="2" borderId="0" xfId="0" applyFont="1" applyFill="1" applyAlignment="1">
      <alignment vertical="top"/>
    </xf>
    <xf numFmtId="0" fontId="8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49" fontId="0" fillId="4" borderId="13" xfId="0" applyNumberForma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" vertical="top" wrapText="1"/>
    </xf>
    <xf numFmtId="0" fontId="25" fillId="2" borderId="0" xfId="0" applyFont="1" applyFill="1" applyAlignment="1">
      <alignment vertical="center" wrapText="1"/>
    </xf>
    <xf numFmtId="0" fontId="27" fillId="9" borderId="0" xfId="0" applyFont="1" applyFill="1" applyAlignment="1">
      <alignment vertical="center" wrapText="1"/>
    </xf>
    <xf numFmtId="0" fontId="3" fillId="10" borderId="0" xfId="0" applyFont="1" applyFill="1" applyAlignment="1"/>
    <xf numFmtId="0" fontId="0" fillId="10" borderId="0" xfId="0" applyFill="1"/>
    <xf numFmtId="0" fontId="0" fillId="10" borderId="0" xfId="0" applyFill="1" applyAlignment="1">
      <alignment vertical="center" wrapText="1"/>
    </xf>
    <xf numFmtId="0" fontId="0" fillId="10" borderId="0" xfId="0" applyFill="1" applyAlignment="1">
      <alignment horizontal="center"/>
    </xf>
    <xf numFmtId="0" fontId="0" fillId="10" borderId="3" xfId="0" applyFill="1" applyBorder="1"/>
    <xf numFmtId="0" fontId="0" fillId="10" borderId="1" xfId="0" applyFill="1" applyBorder="1"/>
    <xf numFmtId="0" fontId="0" fillId="0" borderId="1" xfId="0" applyBorder="1"/>
    <xf numFmtId="0" fontId="0" fillId="9" borderId="0" xfId="0" applyFill="1" applyAlignment="1">
      <alignment vertical="center" wrapText="1"/>
    </xf>
    <xf numFmtId="0" fontId="0" fillId="9" borderId="0" xfId="0" applyFill="1" applyAlignment="1">
      <alignment horizontal="center"/>
    </xf>
    <xf numFmtId="169" fontId="0" fillId="0" borderId="0" xfId="0" applyNumberFormat="1"/>
    <xf numFmtId="1" fontId="3" fillId="0" borderId="0" xfId="0" applyNumberFormat="1" applyFont="1"/>
    <xf numFmtId="171" fontId="0" fillId="2" borderId="27" xfId="0" applyNumberFormat="1" applyFill="1" applyBorder="1"/>
    <xf numFmtId="0" fontId="1" fillId="2" borderId="0" xfId="0" applyFont="1" applyFill="1" applyAlignment="1">
      <alignment horizontal="left" indent="2"/>
    </xf>
    <xf numFmtId="0" fontId="1" fillId="0" borderId="0" xfId="0" applyFont="1"/>
    <xf numFmtId="0" fontId="9" fillId="0" borderId="0" xfId="0" applyFont="1"/>
    <xf numFmtId="0" fontId="1" fillId="3" borderId="0" xfId="0" applyFont="1" applyFill="1" applyAlignment="1">
      <alignment horizontal="center"/>
    </xf>
    <xf numFmtId="3" fontId="3" fillId="3" borderId="51" xfId="0" applyNumberFormat="1" applyFont="1" applyFill="1" applyBorder="1"/>
    <xf numFmtId="3" fontId="3" fillId="3" borderId="52" xfId="0" applyNumberFormat="1" applyFont="1" applyFill="1" applyBorder="1"/>
    <xf numFmtId="3" fontId="3" fillId="3" borderId="53" xfId="0" applyNumberFormat="1" applyFont="1" applyFill="1" applyBorder="1"/>
    <xf numFmtId="3" fontId="3" fillId="4" borderId="0" xfId="0" applyNumberFormat="1" applyFont="1" applyFill="1" applyBorder="1"/>
    <xf numFmtId="3" fontId="3" fillId="4" borderId="39" xfId="0" applyNumberFormat="1" applyFont="1" applyFill="1" applyBorder="1"/>
    <xf numFmtId="3" fontId="3" fillId="4" borderId="15" xfId="0" applyNumberFormat="1" applyFont="1" applyFill="1" applyBorder="1"/>
    <xf numFmtId="3" fontId="3" fillId="4" borderId="1" xfId="0" applyNumberFormat="1" applyFont="1" applyFill="1" applyBorder="1"/>
    <xf numFmtId="3" fontId="3" fillId="4" borderId="34" xfId="0" applyNumberFormat="1" applyFont="1" applyFill="1" applyBorder="1"/>
    <xf numFmtId="3" fontId="3" fillId="4" borderId="2" xfId="0" applyNumberFormat="1" applyFont="1" applyFill="1" applyBorder="1"/>
    <xf numFmtId="3" fontId="3" fillId="4" borderId="30" xfId="0" applyNumberFormat="1" applyFont="1" applyFill="1" applyBorder="1"/>
    <xf numFmtId="0" fontId="1" fillId="2" borderId="0" xfId="0" applyFont="1" applyFill="1"/>
    <xf numFmtId="169" fontId="30" fillId="2" borderId="0" xfId="0" applyNumberFormat="1" applyFont="1" applyFill="1" applyAlignment="1">
      <alignment horizontal="left" indent="2"/>
    </xf>
    <xf numFmtId="0" fontId="0" fillId="0" borderId="54" xfId="0" applyBorder="1"/>
    <xf numFmtId="0" fontId="0" fillId="0" borderId="10" xfId="0" applyBorder="1"/>
    <xf numFmtId="0" fontId="34" fillId="0" borderId="0" xfId="0" applyFont="1"/>
    <xf numFmtId="0" fontId="0" fillId="11" borderId="0" xfId="0" applyFill="1"/>
    <xf numFmtId="0" fontId="34" fillId="12" borderId="0" xfId="0" applyFont="1" applyFill="1"/>
    <xf numFmtId="9" fontId="0" fillId="0" borderId="0" xfId="0" applyNumberFormat="1"/>
    <xf numFmtId="172" fontId="0" fillId="13" borderId="0" xfId="3" applyNumberFormat="1" applyFont="1" applyFill="1"/>
    <xf numFmtId="0" fontId="35" fillId="0" borderId="0" xfId="0" applyFont="1"/>
    <xf numFmtId="168" fontId="35" fillId="0" borderId="0" xfId="0" applyNumberFormat="1" applyFont="1" applyFill="1"/>
    <xf numFmtId="0" fontId="35" fillId="0" borderId="0" xfId="0" applyFont="1" applyFill="1"/>
    <xf numFmtId="0" fontId="0" fillId="12" borderId="0" xfId="0" applyFill="1"/>
    <xf numFmtId="10" fontId="0" fillId="0" borderId="0" xfId="0" applyNumberFormat="1"/>
    <xf numFmtId="172" fontId="0" fillId="14" borderId="0" xfId="3" applyNumberFormat="1" applyFont="1" applyFill="1"/>
    <xf numFmtId="173" fontId="0" fillId="15" borderId="0" xfId="3" applyNumberFormat="1" applyFont="1" applyFill="1"/>
    <xf numFmtId="173" fontId="0" fillId="11" borderId="0" xfId="3" applyNumberFormat="1" applyFont="1" applyFill="1"/>
    <xf numFmtId="9" fontId="34" fillId="0" borderId="0" xfId="0" applyNumberFormat="1" applyFont="1"/>
    <xf numFmtId="0" fontId="34" fillId="0" borderId="0" xfId="0" applyFont="1" applyFill="1"/>
    <xf numFmtId="168" fontId="34" fillId="0" borderId="0" xfId="0" applyNumberFormat="1" applyFont="1" applyFill="1"/>
    <xf numFmtId="0" fontId="36" fillId="0" borderId="0" xfId="0" applyFont="1"/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9" fontId="34" fillId="9" borderId="13" xfId="0" applyNumberFormat="1" applyFont="1" applyFill="1" applyBorder="1"/>
    <xf numFmtId="9" fontId="34" fillId="9" borderId="0" xfId="1" applyFont="1" applyFill="1"/>
    <xf numFmtId="9" fontId="38" fillId="9" borderId="0" xfId="0" applyNumberFormat="1" applyFont="1" applyFill="1" applyBorder="1" applyAlignment="1">
      <alignment horizontal="center"/>
    </xf>
    <xf numFmtId="49" fontId="37" fillId="4" borderId="13" xfId="0" applyNumberFormat="1" applyFont="1" applyFill="1" applyBorder="1" applyAlignment="1" applyProtection="1">
      <alignment horizontal="left" vertical="top" wrapText="1"/>
      <protection locked="0"/>
    </xf>
    <xf numFmtId="9" fontId="0" fillId="10" borderId="0" xfId="0" applyNumberFormat="1" applyFill="1" applyBorder="1"/>
    <xf numFmtId="173" fontId="0" fillId="9" borderId="6" xfId="3" applyNumberFormat="1" applyFont="1" applyFill="1" applyBorder="1"/>
    <xf numFmtId="9" fontId="0" fillId="9" borderId="6" xfId="0" applyNumberFormat="1" applyFill="1" applyBorder="1"/>
    <xf numFmtId="165" fontId="26" fillId="9" borderId="13" xfId="2" applyNumberFormat="1" applyFont="1" applyFill="1" applyBorder="1" applyAlignment="1">
      <alignment horizontal="center"/>
    </xf>
    <xf numFmtId="0" fontId="3" fillId="16" borderId="13" xfId="0" applyFont="1" applyFill="1" applyBorder="1" applyAlignment="1">
      <alignment horizontal="center"/>
    </xf>
    <xf numFmtId="165" fontId="3" fillId="16" borderId="13" xfId="0" applyNumberFormat="1" applyFont="1" applyFill="1" applyBorder="1" applyAlignment="1">
      <alignment horizontal="center"/>
    </xf>
    <xf numFmtId="165" fontId="0" fillId="16" borderId="13" xfId="0" applyNumberFormat="1" applyFill="1" applyBorder="1" applyAlignment="1">
      <alignment horizontal="center"/>
    </xf>
    <xf numFmtId="165" fontId="29" fillId="16" borderId="13" xfId="0" applyNumberFormat="1" applyFont="1" applyFill="1" applyBorder="1" applyAlignment="1">
      <alignment horizontal="center"/>
    </xf>
    <xf numFmtId="165" fontId="28" fillId="16" borderId="13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quotePrefix="1" applyNumberFormat="1" applyAlignment="1">
      <alignment horizontal="left" vertical="top" wrapText="1"/>
    </xf>
    <xf numFmtId="0" fontId="0" fillId="4" borderId="26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horizontal="left" vertical="top" wrapText="1"/>
      <protection locked="0"/>
    </xf>
    <xf numFmtId="0" fontId="9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34" fillId="12" borderId="0" xfId="0" applyFont="1" applyFill="1" applyAlignment="1">
      <alignment horizontal="center" wrapText="1"/>
    </xf>
    <xf numFmtId="0" fontId="3" fillId="9" borderId="0" xfId="0" applyFont="1" applyFill="1" applyAlignment="1">
      <alignment horizontal="center"/>
    </xf>
    <xf numFmtId="9" fontId="34" fillId="9" borderId="0" xfId="0" applyNumberFormat="1" applyFont="1" applyFill="1" applyAlignment="1">
      <alignment horizontal="left"/>
    </xf>
    <xf numFmtId="168" fontId="34" fillId="9" borderId="0" xfId="0" applyNumberFormat="1" applyFont="1" applyFill="1" applyAlignment="1">
      <alignment horizontal="left"/>
    </xf>
    <xf numFmtId="0" fontId="3" fillId="3" borderId="0" xfId="0" applyFont="1" applyFill="1" applyBorder="1" applyAlignment="1">
      <alignment horizontal="center" vertical="center" textRotation="90"/>
    </xf>
    <xf numFmtId="14" fontId="3" fillId="3" borderId="0" xfId="0" applyNumberFormat="1" applyFont="1" applyFill="1" applyAlignment="1">
      <alignment horizontal="right" indent="1"/>
    </xf>
    <xf numFmtId="3" fontId="6" fillId="3" borderId="0" xfId="0" applyNumberFormat="1" applyFont="1" applyFill="1" applyBorder="1" applyAlignment="1">
      <alignment horizontal="right"/>
    </xf>
    <xf numFmtId="3" fontId="6" fillId="3" borderId="2" xfId="0" applyNumberFormat="1" applyFont="1" applyFill="1" applyBorder="1" applyAlignment="1">
      <alignment horizontal="right"/>
    </xf>
    <xf numFmtId="3" fontId="3" fillId="3" borderId="10" xfId="0" applyNumberFormat="1" applyFont="1" applyFill="1" applyBorder="1" applyAlignment="1">
      <alignment horizontal="right"/>
    </xf>
    <xf numFmtId="49" fontId="0" fillId="3" borderId="3" xfId="0" applyNumberFormat="1" applyFill="1" applyBorder="1" applyAlignment="1">
      <alignment horizontal="left"/>
    </xf>
    <xf numFmtId="49" fontId="1" fillId="3" borderId="3" xfId="0" applyNumberFormat="1" applyFont="1" applyFill="1" applyBorder="1" applyAlignment="1">
      <alignment horizontal="left"/>
    </xf>
    <xf numFmtId="0" fontId="0" fillId="3" borderId="3" xfId="0" applyNumberFormat="1" applyFill="1" applyBorder="1" applyAlignment="1">
      <alignment horizontal="left"/>
    </xf>
    <xf numFmtId="0" fontId="3" fillId="3" borderId="41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 vertical="center" textRotation="90"/>
    </xf>
    <xf numFmtId="0" fontId="3" fillId="3" borderId="42" xfId="0" applyFont="1" applyFill="1" applyBorder="1" applyAlignment="1">
      <alignment horizontal="center" vertical="center" textRotation="90"/>
    </xf>
    <xf numFmtId="0" fontId="3" fillId="3" borderId="37" xfId="0" applyFont="1" applyFill="1" applyBorder="1" applyAlignment="1">
      <alignment horizontal="center" vertical="center" textRotation="90"/>
    </xf>
    <xf numFmtId="3" fontId="3" fillId="7" borderId="43" xfId="0" applyNumberFormat="1" applyFont="1" applyFill="1" applyBorder="1" applyAlignment="1">
      <alignment horizontal="center" vertical="center"/>
    </xf>
    <xf numFmtId="3" fontId="3" fillId="7" borderId="44" xfId="0" applyNumberFormat="1" applyFont="1" applyFill="1" applyBorder="1" applyAlignment="1">
      <alignment horizontal="center" vertical="center"/>
    </xf>
    <xf numFmtId="3" fontId="3" fillId="7" borderId="45" xfId="0" applyNumberFormat="1" applyFont="1" applyFill="1" applyBorder="1" applyAlignment="1">
      <alignment horizontal="center" vertical="center"/>
    </xf>
    <xf numFmtId="3" fontId="3" fillId="7" borderId="46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3" fontId="0" fillId="3" borderId="41" xfId="0" applyNumberFormat="1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3" fontId="3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3" fontId="0" fillId="3" borderId="49" xfId="0" applyNumberForma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50" xfId="0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9" fontId="2" fillId="3" borderId="37" xfId="0" applyNumberFormat="1" applyFont="1" applyFill="1" applyBorder="1" applyAlignment="1">
      <alignment horizontal="center"/>
    </xf>
    <xf numFmtId="9" fontId="2" fillId="3" borderId="38" xfId="0" applyNumberFormat="1" applyFont="1" applyFill="1" applyBorder="1" applyAlignment="1">
      <alignment horizontal="center"/>
    </xf>
    <xf numFmtId="0" fontId="14" fillId="3" borderId="34" xfId="0" applyFont="1" applyFill="1" applyBorder="1" applyAlignment="1">
      <alignment horizontal="center"/>
    </xf>
    <xf numFmtId="0" fontId="14" fillId="3" borderId="30" xfId="0" applyFont="1" applyFill="1" applyBorder="1" applyAlignment="1">
      <alignment horizontal="center"/>
    </xf>
    <xf numFmtId="9" fontId="2" fillId="3" borderId="35" xfId="0" quotePrefix="1" applyNumberFormat="1" applyFont="1" applyFill="1" applyBorder="1" applyAlignment="1">
      <alignment horizontal="center"/>
    </xf>
    <xf numFmtId="9" fontId="2" fillId="3" borderId="31" xfId="0" quotePrefix="1" applyNumberFormat="1" applyFont="1" applyFill="1" applyBorder="1" applyAlignment="1">
      <alignment horizontal="center"/>
    </xf>
    <xf numFmtId="3" fontId="0" fillId="3" borderId="36" xfId="0" applyNumberForma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3" fontId="0" fillId="3" borderId="39" xfId="0" applyNumberFormat="1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3" fontId="20" fillId="3" borderId="9" xfId="0" applyNumberFormat="1" applyFont="1" applyFill="1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9" fontId="2" fillId="3" borderId="28" xfId="0" applyNumberFormat="1" applyFont="1" applyFill="1" applyBorder="1" applyAlignment="1">
      <alignment horizontal="center" vertical="center" textRotation="90"/>
    </xf>
    <xf numFmtId="0" fontId="2" fillId="3" borderId="11" xfId="0" applyFont="1" applyFill="1" applyBorder="1" applyAlignment="1">
      <alignment horizontal="center" vertical="center" textRotation="90"/>
    </xf>
    <xf numFmtId="9" fontId="14" fillId="3" borderId="29" xfId="0" applyNumberFormat="1" applyFont="1" applyFill="1" applyBorder="1" applyAlignment="1">
      <alignment horizontal="center" vertical="center" textRotation="90"/>
    </xf>
    <xf numFmtId="9" fontId="14" fillId="3" borderId="30" xfId="0" applyNumberFormat="1" applyFont="1" applyFill="1" applyBorder="1" applyAlignment="1">
      <alignment horizontal="center" vertical="center" textRotation="90"/>
    </xf>
    <xf numFmtId="9" fontId="2" fillId="3" borderId="11" xfId="0" applyNumberFormat="1" applyFont="1" applyFill="1" applyBorder="1" applyAlignment="1">
      <alignment horizontal="center" textRotation="90"/>
    </xf>
    <xf numFmtId="0" fontId="0" fillId="0" borderId="31" xfId="0" applyBorder="1" applyAlignment="1">
      <alignment horizontal="center"/>
    </xf>
    <xf numFmtId="9" fontId="9" fillId="3" borderId="9" xfId="0" applyNumberFormat="1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168" fontId="0" fillId="3" borderId="3" xfId="0" applyNumberFormat="1" applyFill="1" applyBorder="1" applyAlignment="1">
      <alignment horizontal="center"/>
    </xf>
    <xf numFmtId="3" fontId="0" fillId="3" borderId="9" xfId="0" applyNumberForma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165" fontId="0" fillId="3" borderId="9" xfId="1" applyNumberFormat="1" applyFont="1" applyFill="1" applyBorder="1" applyAlignment="1">
      <alignment horizontal="center"/>
    </xf>
    <xf numFmtId="168" fontId="3" fillId="3" borderId="32" xfId="0" applyNumberFormat="1" applyFont="1" applyFill="1" applyBorder="1" applyAlignment="1">
      <alignment horizontal="center" vertical="center"/>
    </xf>
    <xf numFmtId="168" fontId="3" fillId="3" borderId="33" xfId="0" applyNumberFormat="1" applyFont="1" applyFill="1" applyBorder="1" applyAlignment="1">
      <alignment horizontal="center" vertical="center"/>
    </xf>
  </cellXfs>
  <cellStyles count="4">
    <cellStyle name="Bad" xfId="2" builtinId="27"/>
    <cellStyle name="Comma" xfId="3" builtinId="3"/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69696"/>
      <rgbColor rgb="00E6CDB4"/>
      <rgbColor rgb="006348A6"/>
      <rgbColor rgb="00B4FF8F"/>
      <rgbColor rgb="00C0C0C0"/>
      <rgbColor rgb="00FFCC00"/>
      <rgbColor rgb="00777777"/>
      <rgbColor rgb="00996633"/>
      <rgbColor rgb="003A3266"/>
      <rgbColor rgb="00669933"/>
      <rgbColor rgb="00E4DD7C"/>
      <rgbColor rgb="00FF3300"/>
      <rgbColor rgb="00DDDDDD"/>
      <rgbColor rgb="00808080"/>
      <rgbColor rgb="009999CC"/>
      <rgbColor rgb="006699CC"/>
      <rgbColor rgb="00CC9966"/>
      <rgbColor rgb="00FF3300"/>
      <rgbColor rgb="00FFCC00"/>
      <rgbColor rgb="00FFFF00"/>
      <rgbColor rgb="0099CC33"/>
      <rgbColor rgb="00999999"/>
      <rgbColor rgb="00000066"/>
      <rgbColor rgb="00009933"/>
      <rgbColor rgb="009933FF"/>
      <rgbColor rgb="00FF6600"/>
      <rgbColor rgb="00800080"/>
      <rgbColor rgb="00800000"/>
      <rgbColor rgb="00008080"/>
      <rgbColor rgb="000000FF"/>
      <rgbColor rgb="009999CC"/>
      <rgbColor rgb="00FFFF99"/>
      <rgbColor rgb="00F2E4D6"/>
      <rgbColor rgb="00CCFFCC"/>
      <rgbColor rgb="00CFCFE7"/>
      <rgbColor rgb="00FFFFFF"/>
      <rgbColor rgb="00FFFFCC"/>
      <rgbColor rgb="0099CCFF"/>
      <rgbColor rgb="006C68C6"/>
      <rgbColor rgb="00FF6600"/>
      <rgbColor rgb="0099CC33"/>
      <rgbColor rgb="006699CC"/>
      <rgbColor rgb="003366FF"/>
      <rgbColor rgb="002D2DFF"/>
      <rgbColor rgb="00EAD116"/>
      <rgbColor rgb="00C0C0C0"/>
      <rgbColor rgb="00FF0000"/>
      <rgbColor rgb="00CC9966"/>
      <rgbColor rgb="00663300"/>
      <rgbColor rgb="00009933"/>
      <rgbColor rgb="00000066"/>
      <rgbColor rgb="00CCCC99"/>
      <rgbColor rgb="00FFFF00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Sales (k USD; discrete):</a:t>
            </a:r>
          </a:p>
        </c:rich>
      </c:tx>
      <c:layout>
        <c:manualLayout>
          <c:xMode val="edge"/>
          <c:yMode val="edge"/>
          <c:x val="1.0570824524312903E-2"/>
          <c:y val="2.25226215979623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09795630725863"/>
          <c:y val="0.19369454574247671"/>
          <c:w val="0.85764622973925297"/>
          <c:h val="0.44444633609987938"/>
        </c:manualLayout>
      </c:layout>
      <c:barChart>
        <c:barDir val="col"/>
        <c:grouping val="stacked"/>
        <c:varyColors val="0"/>
        <c:ser>
          <c:idx val="0"/>
          <c:order val="0"/>
          <c:tx>
            <c:v>Incremental Sales</c:v>
          </c:tx>
          <c:spPr>
            <a:solidFill>
              <a:srgbClr val="99CC33"/>
            </a:solidFill>
            <a:ln w="25400">
              <a:noFill/>
            </a:ln>
          </c:spPr>
          <c:invertIfNegative val="0"/>
          <c:cat>
            <c:numRef>
              <c:f>'NPV calculation'!$G$3:$U$3</c:f>
              <c:numCache>
                <c:formatCode>0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'NPV calculation'!$G$8:$U$8</c:f>
              <c:numCache>
                <c:formatCode>#,##0_ ;[Red]\-#,##0\ </c:formatCode>
                <c:ptCount val="15"/>
                <c:pt idx="0">
                  <c:v>0</c:v>
                </c:pt>
                <c:pt idx="1">
                  <c:v>2242.381681167335</c:v>
                </c:pt>
                <c:pt idx="2">
                  <c:v>4233.6067887663949</c:v>
                </c:pt>
                <c:pt idx="3">
                  <c:v>6026.3382428099085</c:v>
                </c:pt>
                <c:pt idx="4">
                  <c:v>7664.592762299194</c:v>
                </c:pt>
                <c:pt idx="5">
                  <c:v>9185.2854247086616</c:v>
                </c:pt>
                <c:pt idx="6">
                  <c:v>10619.506636180984</c:v>
                </c:pt>
                <c:pt idx="7">
                  <c:v>11993.578381518935</c:v>
                </c:pt>
                <c:pt idx="8">
                  <c:v>13329.928446015198</c:v>
                </c:pt>
                <c:pt idx="9">
                  <c:v>14647.814552742435</c:v>
                </c:pt>
                <c:pt idx="10">
                  <c:v>15963.924789661252</c:v>
                </c:pt>
                <c:pt idx="11">
                  <c:v>17292.876104893119</c:v>
                </c:pt>
                <c:pt idx="12">
                  <c:v>18647.628855811086</c:v>
                </c:pt>
                <c:pt idx="13">
                  <c:v>20039.832267966314</c:v>
                </c:pt>
                <c:pt idx="14">
                  <c:v>21480.113077534646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5A-4B47-BD90-5874AA940DC5}"/>
            </c:ext>
          </c:extLst>
        </c:ser>
        <c:ser>
          <c:idx val="1"/>
          <c:order val="1"/>
          <c:tx>
            <c:v>Cannibalized Sales</c:v>
          </c:tx>
          <c:spPr>
            <a:solidFill>
              <a:srgbClr val="6699CC"/>
            </a:solidFill>
            <a:ln w="25400">
              <a:noFill/>
            </a:ln>
          </c:spPr>
          <c:invertIfNegative val="0"/>
          <c:cat>
            <c:numRef>
              <c:f>'NPV calculation'!$G$3:$U$3</c:f>
              <c:numCache>
                <c:formatCode>0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'Secondary Inputs'!$J$39:$X$39</c:f>
              <c:numCache>
                <c:formatCode>#,##0</c:formatCode>
                <c:ptCount val="15"/>
                <c:pt idx="0">
                  <c:v>9450</c:v>
                </c:pt>
                <c:pt idx="1">
                  <c:v>7799.5884562342071</c:v>
                </c:pt>
                <c:pt idx="2">
                  <c:v>6437.415882182212</c:v>
                </c:pt>
                <c:pt idx="3">
                  <c:v>5313.142285994405</c:v>
                </c:pt>
                <c:pt idx="4">
                  <c:v>4385.2193904943697</c:v>
                </c:pt>
                <c:pt idx="5">
                  <c:v>3619.3551890110366</c:v>
                </c:pt>
                <c:pt idx="6">
                  <c:v>2987.2466615049589</c:v>
                </c:pt>
                <c:pt idx="7">
                  <c:v>2465.5338176717728</c:v>
                </c:pt>
                <c:pt idx="8">
                  <c:v>2034.9364129913031</c:v>
                </c:pt>
                <c:pt idx="9">
                  <c:v>1679.5414344907529</c:v>
                </c:pt>
                <c:pt idx="10">
                  <c:v>1386.2150247853035</c:v>
                </c:pt>
                <c:pt idx="11">
                  <c:v>1144.1171116586106</c:v>
                </c:pt>
                <c:pt idx="12">
                  <c:v>944.30080599709243</c:v>
                </c:pt>
                <c:pt idx="13">
                  <c:v>779.38176356270685</c:v>
                </c:pt>
                <c:pt idx="14">
                  <c:v>643.26529164901035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5A-4B47-BD90-5874AA94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43267200"/>
        <c:axId val="43268736"/>
      </c:barChart>
      <c:catAx>
        <c:axId val="432672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268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2687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 ;[Red]\-#,##0\ 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2672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5940803382663852E-2"/>
          <c:y val="0.74775103705235269"/>
          <c:w val="0.95348837209302362"/>
          <c:h val="0.180180972783699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Cash Flow (k USD, 10 year cumulative):</a:t>
            </a:r>
          </a:p>
        </c:rich>
      </c:tx>
      <c:layout>
        <c:manualLayout>
          <c:xMode val="edge"/>
          <c:yMode val="edge"/>
          <c:x val="1.0570824524312903E-2"/>
          <c:y val="4.50000000000000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53488372093042"/>
          <c:y val="0.24000000000000016"/>
          <c:w val="0.85200845665962077"/>
          <c:h val="0.42500000000000032"/>
        </c:manualLayout>
      </c:layout>
      <c:lineChart>
        <c:grouping val="standard"/>
        <c:varyColors val="0"/>
        <c:ser>
          <c:idx val="1"/>
          <c:order val="0"/>
          <c:tx>
            <c:v>Undiscounted</c:v>
          </c:tx>
          <c:spPr>
            <a:ln w="12700">
              <a:solidFill>
                <a:srgbClr val="2D2DFF"/>
              </a:solidFill>
              <a:prstDash val="sysDash"/>
            </a:ln>
          </c:spPr>
          <c:marker>
            <c:symbol val="none"/>
          </c:marker>
          <c:cat>
            <c:numRef>
              <c:f>'NPV calculation'!$G$3:$U$3</c:f>
              <c:numCache>
                <c:formatCode>0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'NPV calculation'!$G$52:$U$52</c:f>
              <c:numCache>
                <c:formatCode>#,##0_ ;[Red]\-#,##0\ </c:formatCode>
                <c:ptCount val="15"/>
                <c:pt idx="0">
                  <c:v>-1788.5336625054313</c:v>
                </c:pt>
                <c:pt idx="1">
                  <c:v>-2646.6883443906891</c:v>
                </c:pt>
                <c:pt idx="2">
                  <c:v>-1792.3790963709362</c:v>
                </c:pt>
                <c:pt idx="3">
                  <c:v>98.793386023596668</c:v>
                </c:pt>
                <c:pt idx="4">
                  <c:v>2931.0394646714926</c:v>
                </c:pt>
                <c:pt idx="5">
                  <c:v>6630.9718508158076</c:v>
                </c:pt>
                <c:pt idx="6">
                  <c:v>11144.058375805678</c:v>
                </c:pt>
                <c:pt idx="7">
                  <c:v>16431.717451955152</c:v>
                </c:pt>
                <c:pt idx="8">
                  <c:v>22468.945440636737</c:v>
                </c:pt>
                <c:pt idx="9">
                  <c:v>29242.384584372481</c:v>
                </c:pt>
                <c:pt idx="10">
                  <c:v>36748.756210017484</c:v>
                </c:pt>
                <c:pt idx="11">
                  <c:v>44993.597163442908</c:v>
                </c:pt>
                <c:pt idx="12">
                  <c:v>53990.248381291938</c:v>
                </c:pt>
                <c:pt idx="13">
                  <c:v>63759.053545919924</c:v>
                </c:pt>
                <c:pt idx="14">
                  <c:v>73640.634164562245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AD-4E5E-B842-220D9A28D129}"/>
            </c:ext>
          </c:extLst>
        </c:ser>
        <c:ser>
          <c:idx val="0"/>
          <c:order val="1"/>
          <c:tx>
            <c:v>Discounted at 16%</c:v>
          </c:tx>
          <c:spPr>
            <a:ln w="25400">
              <a:solidFill>
                <a:srgbClr val="669933"/>
              </a:solidFill>
              <a:prstDash val="solid"/>
            </a:ln>
          </c:spPr>
          <c:marker>
            <c:symbol val="none"/>
          </c:marker>
          <c:cat>
            <c:numRef>
              <c:f>'NPV calculation'!$G$3:$U$3</c:f>
              <c:numCache>
                <c:formatCode>0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'NPV calculation'!$G$58:$U$58</c:f>
              <c:numCache>
                <c:formatCode>#,##0_ ;[Red]\-#,##0\ </c:formatCode>
                <c:ptCount val="15"/>
                <c:pt idx="0">
                  <c:v>-1660.6118164999361</c:v>
                </c:pt>
                <c:pt idx="1">
                  <c:v>-2347.4882124521055</c:v>
                </c:pt>
                <c:pt idx="2">
                  <c:v>-1758.0067739904121</c:v>
                </c:pt>
                <c:pt idx="3">
                  <c:v>-633.06983498426598</c:v>
                </c:pt>
                <c:pt idx="4">
                  <c:v>819.27596339479464</c:v>
                </c:pt>
                <c:pt idx="5">
                  <c:v>2454.8674710697387</c:v>
                </c:pt>
                <c:pt idx="6">
                  <c:v>4174.741862260038</c:v>
                </c:pt>
                <c:pt idx="7">
                  <c:v>5911.856688004229</c:v>
                </c:pt>
                <c:pt idx="8">
                  <c:v>7621.6541510286488</c:v>
                </c:pt>
                <c:pt idx="9">
                  <c:v>9275.3602783905517</c:v>
                </c:pt>
                <c:pt idx="10">
                  <c:v>10855.229632303119</c:v>
                </c:pt>
                <c:pt idx="11">
                  <c:v>12351.17387345705</c:v>
                </c:pt>
                <c:pt idx="12">
                  <c:v>13758.374496522316</c:v>
                </c:pt>
                <c:pt idx="13">
                  <c:v>15075.595336906332</c:v>
                </c:pt>
                <c:pt idx="14">
                  <c:v>16224.239670212937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AD-4E5E-B842-220D9A28D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306368"/>
        <c:axId val="43312256"/>
      </c:lineChart>
      <c:catAx>
        <c:axId val="433063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312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3122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 ;[Red]\-#,##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3063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953488372093042"/>
          <c:y val="0.84500000000000064"/>
          <c:w val="0.85200845665962077"/>
          <c:h val="0.140000000000000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R&amp;D and CAPEX spend (k USD; discrete):</a:t>
            </a:r>
          </a:p>
        </c:rich>
      </c:tx>
      <c:layout>
        <c:manualLayout>
          <c:xMode val="edge"/>
          <c:yMode val="edge"/>
          <c:x val="1.0548544939479784E-2"/>
          <c:y val="2.5000000000000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08019572495491"/>
          <c:y val="0.22"/>
          <c:w val="0.8459933041462786"/>
          <c:h val="0.42500000000000032"/>
        </c:manualLayout>
      </c:layout>
      <c:barChart>
        <c:barDir val="col"/>
        <c:grouping val="stacked"/>
        <c:varyColors val="0"/>
        <c:ser>
          <c:idx val="0"/>
          <c:order val="0"/>
          <c:tx>
            <c:v>Development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numRef>
              <c:f>'NPV calculation'!$G$3:$U$3</c:f>
              <c:numCache>
                <c:formatCode>0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'NPV calculation'!$G$21:$U$21</c:f>
              <c:numCache>
                <c:formatCode>#,##0_ ;[Red]\-#,##0\ </c:formatCode>
                <c:ptCount val="15"/>
                <c:pt idx="0">
                  <c:v>-2069</c:v>
                </c:pt>
                <c:pt idx="1">
                  <c:v>-2131.0700000000002</c:v>
                </c:pt>
                <c:pt idx="2">
                  <c:v>-2195.0021000000002</c:v>
                </c:pt>
                <c:pt idx="3">
                  <c:v>-2260.852163</c:v>
                </c:pt>
                <c:pt idx="4">
                  <c:v>-2328.6777278899999</c:v>
                </c:pt>
                <c:pt idx="5">
                  <c:v>-2398.5380597266999</c:v>
                </c:pt>
                <c:pt idx="6">
                  <c:v>-2470.4942015185011</c:v>
                </c:pt>
                <c:pt idx="7">
                  <c:v>-2544.6090275640563</c:v>
                </c:pt>
                <c:pt idx="8">
                  <c:v>-2620.9472983909782</c:v>
                </c:pt>
                <c:pt idx="9">
                  <c:v>-2699.5757173427078</c:v>
                </c:pt>
                <c:pt idx="10">
                  <c:v>-2780.5629888629892</c:v>
                </c:pt>
                <c:pt idx="11">
                  <c:v>-2863.979878528879</c:v>
                </c:pt>
                <c:pt idx="12">
                  <c:v>-2949.8992748847454</c:v>
                </c:pt>
                <c:pt idx="13">
                  <c:v>-3038.3962531312877</c:v>
                </c:pt>
                <c:pt idx="14">
                  <c:v>-3129.5481407252264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F0-4BC8-84A6-12767C2CBECB}"/>
            </c:ext>
          </c:extLst>
        </c:ser>
        <c:ser>
          <c:idx val="1"/>
          <c:order val="1"/>
          <c:tx>
            <c:v>CAPEX</c:v>
          </c:tx>
          <c:spPr>
            <a:solidFill>
              <a:srgbClr val="FF3300"/>
            </a:solidFill>
            <a:ln w="25400">
              <a:noFill/>
            </a:ln>
          </c:spPr>
          <c:invertIfNegative val="0"/>
          <c:cat>
            <c:numRef>
              <c:f>'NPV calculation'!$G$3:$U$3</c:f>
              <c:numCache>
                <c:formatCode>0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'NPV calculation'!$G$39:$U$39</c:f>
              <c:numCache>
                <c:formatCode>#,##0_ ;[Red]\-#,##0\ 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F0-4BC8-84A6-12767C2CB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54298496"/>
        <c:axId val="54300032"/>
      </c:barChart>
      <c:catAx>
        <c:axId val="54298496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430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000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 ;[Red]\-#,##0\ 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429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6962142673190774E-2"/>
          <c:y val="0.77000000000000079"/>
          <c:w val="0.93460108163790878"/>
          <c:h val="0.1400000000000000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4</xdr:row>
      <xdr:rowOff>19050</xdr:rowOff>
    </xdr:from>
    <xdr:to>
      <xdr:col>1</xdr:col>
      <xdr:colOff>0</xdr:colOff>
      <xdr:row>12</xdr:row>
      <xdr:rowOff>19050</xdr:rowOff>
    </xdr:to>
    <xdr:pic>
      <xdr:nvPicPr>
        <xdr:cNvPr id="6145" name="Picture 1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704850"/>
          <a:ext cx="2447925" cy="1295400"/>
        </a:xfrm>
        <a:prstGeom prst="rect">
          <a:avLst/>
        </a:prstGeom>
        <a:noFill/>
        <a:ln w="0">
          <a:solidFill>
            <a:srgbClr val="000000"/>
          </a:solidFill>
          <a:miter lim="800000"/>
          <a:headEnd/>
          <a:tailEnd/>
        </a:ln>
        <a:effectLst/>
      </xdr:spPr>
    </xdr:pic>
    <xdr:clientData/>
  </xdr:twoCellAnchor>
  <xdr:twoCellAnchor editAs="oneCell">
    <xdr:from>
      <xdr:col>0</xdr:col>
      <xdr:colOff>57150</xdr:colOff>
      <xdr:row>22</xdr:row>
      <xdr:rowOff>19050</xdr:rowOff>
    </xdr:from>
    <xdr:to>
      <xdr:col>0</xdr:col>
      <xdr:colOff>2495550</xdr:colOff>
      <xdr:row>28</xdr:row>
      <xdr:rowOff>152400</xdr:rowOff>
    </xdr:to>
    <xdr:pic>
      <xdr:nvPicPr>
        <xdr:cNvPr id="6146" name="Picture 2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3619500"/>
          <a:ext cx="2438400" cy="1104900"/>
        </a:xfrm>
        <a:prstGeom prst="rect">
          <a:avLst/>
        </a:prstGeom>
        <a:noFill/>
        <a:ln w="0" algn="ctr">
          <a:solidFill>
            <a:srgbClr val="000000"/>
          </a:solidFill>
          <a:miter lim="800000"/>
          <a:headEnd/>
          <a:tailEnd/>
        </a:ln>
        <a:effectLst/>
      </xdr:spPr>
    </xdr:pic>
    <xdr:clientData/>
  </xdr:twoCellAnchor>
  <xdr:twoCellAnchor editAs="oneCell">
    <xdr:from>
      <xdr:col>0</xdr:col>
      <xdr:colOff>76200</xdr:colOff>
      <xdr:row>31</xdr:row>
      <xdr:rowOff>19050</xdr:rowOff>
    </xdr:from>
    <xdr:to>
      <xdr:col>1</xdr:col>
      <xdr:colOff>0</xdr:colOff>
      <xdr:row>43</xdr:row>
      <xdr:rowOff>133350</xdr:rowOff>
    </xdr:to>
    <xdr:pic>
      <xdr:nvPicPr>
        <xdr:cNvPr id="6147" name="Picture 3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200" y="5076825"/>
          <a:ext cx="2428875" cy="2057400"/>
        </a:xfrm>
        <a:prstGeom prst="rect">
          <a:avLst/>
        </a:prstGeom>
        <a:noFill/>
        <a:ln w="0" algn="ctr">
          <a:solidFill>
            <a:srgbClr val="000000"/>
          </a:solidFill>
          <a:miter lim="800000"/>
          <a:headEnd/>
          <a:tailEnd/>
        </a:ln>
        <a:effectLst/>
      </xdr:spPr>
    </xdr:pic>
    <xdr:clientData/>
  </xdr:twoCellAnchor>
  <xdr:twoCellAnchor editAs="oneCell">
    <xdr:from>
      <xdr:col>0</xdr:col>
      <xdr:colOff>57150</xdr:colOff>
      <xdr:row>46</xdr:row>
      <xdr:rowOff>28575</xdr:rowOff>
    </xdr:from>
    <xdr:to>
      <xdr:col>0</xdr:col>
      <xdr:colOff>2495550</xdr:colOff>
      <xdr:row>56</xdr:row>
      <xdr:rowOff>104775</xdr:rowOff>
    </xdr:to>
    <xdr:pic>
      <xdr:nvPicPr>
        <xdr:cNvPr id="6148" name="Picture 4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7150" y="7515225"/>
          <a:ext cx="2438400" cy="1695450"/>
        </a:xfrm>
        <a:prstGeom prst="rect">
          <a:avLst/>
        </a:prstGeom>
        <a:noFill/>
        <a:ln w="0" algn="ctr">
          <a:solidFill>
            <a:srgbClr val="000000"/>
          </a:solidFill>
          <a:miter lim="800000"/>
          <a:headEnd/>
          <a:tailEnd/>
        </a:ln>
        <a:effectLst/>
      </xdr:spPr>
    </xdr:pic>
    <xdr:clientData/>
  </xdr:twoCellAnchor>
  <xdr:twoCellAnchor editAs="oneCell">
    <xdr:from>
      <xdr:col>0</xdr:col>
      <xdr:colOff>57150</xdr:colOff>
      <xdr:row>14</xdr:row>
      <xdr:rowOff>19050</xdr:rowOff>
    </xdr:from>
    <xdr:to>
      <xdr:col>1</xdr:col>
      <xdr:colOff>0</xdr:colOff>
      <xdr:row>20</xdr:row>
      <xdr:rowOff>152400</xdr:rowOff>
    </xdr:to>
    <xdr:pic>
      <xdr:nvPicPr>
        <xdr:cNvPr id="6149" name="Picture 5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7150" y="2324100"/>
          <a:ext cx="2447925" cy="1104900"/>
        </a:xfrm>
        <a:prstGeom prst="rect">
          <a:avLst/>
        </a:prstGeom>
        <a:noFill/>
        <a:ln w="0" algn="ctr">
          <a:solidFill>
            <a:srgbClr val="000000"/>
          </a:solidFill>
          <a:miter lim="800000"/>
          <a:headEnd/>
          <a:tailEnd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600074</xdr:colOff>
      <xdr:row>10</xdr:row>
      <xdr:rowOff>133350</xdr:rowOff>
    </xdr:from>
    <xdr:ext cx="7686675" cy="36772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257674" y="1752600"/>
          <a:ext cx="7686675" cy="3677225"/>
        </a:xfrm>
        <a:prstGeom prst="rect">
          <a:avLst/>
        </a:prstGeom>
        <a:solidFill>
          <a:srgbClr val="00206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4400">
              <a:solidFill>
                <a:schemeClr val="bg1"/>
              </a:solidFill>
            </a:rPr>
            <a:t>Financial Business Case</a:t>
          </a:r>
        </a:p>
        <a:p>
          <a:pPr algn="ctr"/>
          <a:r>
            <a:rPr lang="en-US" sz="4400">
              <a:solidFill>
                <a:schemeClr val="bg1"/>
              </a:solidFill>
            </a:rPr>
            <a:t>for</a:t>
          </a:r>
        </a:p>
        <a:p>
          <a:pPr algn="ctr"/>
          <a:r>
            <a:rPr lang="en-US" sz="4400">
              <a:solidFill>
                <a:schemeClr val="bg1"/>
              </a:solidFill>
            </a:rPr>
            <a:t>Breeding Programs</a:t>
          </a:r>
        </a:p>
        <a:p>
          <a:pPr algn="ctr"/>
          <a:endParaRPr lang="en-US" sz="4400">
            <a:solidFill>
              <a:schemeClr val="bg1"/>
            </a:solidFill>
          </a:endParaRPr>
        </a:p>
        <a:p>
          <a:pPr algn="ctr"/>
          <a:r>
            <a:rPr lang="en-US" sz="2000">
              <a:solidFill>
                <a:schemeClr val="bg1"/>
              </a:solidFill>
            </a:rPr>
            <a:t>Copy made available for educational</a:t>
          </a:r>
          <a:r>
            <a:rPr lang="en-US" sz="2000" baseline="0">
              <a:solidFill>
                <a:schemeClr val="bg1"/>
              </a:solidFill>
            </a:rPr>
            <a:t> purposes only</a:t>
          </a:r>
          <a:endParaRPr lang="en-US" sz="2000">
            <a:solidFill>
              <a:schemeClr val="bg1"/>
            </a:solidFill>
          </a:endParaRPr>
        </a:p>
        <a:p>
          <a:pPr algn="ctr"/>
          <a:endParaRPr lang="en-US" sz="1100">
            <a:solidFill>
              <a:schemeClr val="bg1"/>
            </a:solidFill>
          </a:endParaRPr>
        </a:p>
        <a:p>
          <a:pPr algn="ctr"/>
          <a:r>
            <a:rPr lang="en-US" sz="1100">
              <a:solidFill>
                <a:schemeClr val="bg1"/>
              </a:solidFill>
            </a:rPr>
            <a:t>© Syngenta 2015</a:t>
          </a:r>
        </a:p>
        <a:p>
          <a:pPr algn="ctr"/>
          <a:r>
            <a:rPr lang="en-US" sz="1100">
              <a:solidFill>
                <a:schemeClr val="bg1"/>
              </a:solidFill>
            </a:rPr>
            <a:t>Contact: Peter van der Toorn</a:t>
          </a:r>
        </a:p>
      </xdr:txBody>
    </xdr:sp>
    <xdr:clientData/>
  </xdr:oneCellAnchor>
  <xdr:twoCellAnchor>
    <xdr:from>
      <xdr:col>7</xdr:col>
      <xdr:colOff>0</xdr:colOff>
      <xdr:row>35</xdr:row>
      <xdr:rowOff>47625</xdr:rowOff>
    </xdr:from>
    <xdr:to>
      <xdr:col>19</xdr:col>
      <xdr:colOff>352425</xdr:colOff>
      <xdr:row>40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267200" y="5715000"/>
          <a:ext cx="7667625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/>
            <a:t>Instruction: Enter requested data in yellow cells and in yellow tabs only</a:t>
          </a:r>
        </a:p>
        <a:p>
          <a:pPr algn="ctr"/>
          <a:endParaRPr lang="en-US" sz="1600"/>
        </a:p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209550</xdr:colOff>
      <xdr:row>3</xdr:row>
      <xdr:rowOff>123824</xdr:rowOff>
    </xdr:from>
    <xdr:ext cx="3451437" cy="26574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248900" y="647699"/>
          <a:ext cx="3451437" cy="2657475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/>
            <a:t>Vivienne, you may want to change these numbers to make </a:t>
          </a:r>
        </a:p>
        <a:p>
          <a:r>
            <a:rPr lang="en-US" sz="1100"/>
            <a:t>them better suitable for the WACCI environment. </a:t>
          </a:r>
        </a:p>
        <a:p>
          <a:r>
            <a:rPr lang="en-US" sz="1100"/>
            <a:t>I leave that to you.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24</xdr:row>
      <xdr:rowOff>0</xdr:rowOff>
    </xdr:from>
    <xdr:to>
      <xdr:col>24</xdr:col>
      <xdr:colOff>95250</xdr:colOff>
      <xdr:row>26</xdr:row>
      <xdr:rowOff>123825</xdr:rowOff>
    </xdr:to>
    <xdr:sp macro="" textlink="">
      <xdr:nvSpPr>
        <xdr:cNvPr id="4105" name="Rectangle 9">
          <a:extLst>
            <a:ext uri="{FF2B5EF4-FFF2-40B4-BE49-F238E27FC236}">
              <a16:creationId xmlns:a16="http://schemas.microsoft.com/office/drawing/2014/main" id="{00000000-0008-0000-0500-000009100000}"/>
            </a:ext>
          </a:extLst>
        </xdr:cNvPr>
        <xdr:cNvSpPr>
          <a:spLocks noChangeArrowheads="1"/>
        </xdr:cNvSpPr>
      </xdr:nvSpPr>
      <xdr:spPr bwMode="auto">
        <a:xfrm>
          <a:off x="276225" y="3571875"/>
          <a:ext cx="11772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000" b="0" i="1" strike="noStrike">
              <a:solidFill>
                <a:srgbClr val="000000"/>
              </a:solidFill>
              <a:latin typeface="Arial"/>
              <a:cs typeface="Arial"/>
            </a:rPr>
            <a:t>only for reference purpose -</a:t>
          </a:r>
          <a:r>
            <a:rPr lang="de-CH" sz="1000" b="0" i="1" u="sng" strike="noStrike">
              <a:solidFill>
                <a:srgbClr val="000000"/>
              </a:solidFill>
              <a:latin typeface="Arial"/>
              <a:cs typeface="Arial"/>
            </a:rPr>
            <a:t>not</a:t>
          </a:r>
          <a:r>
            <a:rPr lang="de-CH" sz="1000" b="0" i="1" strike="noStrike">
              <a:solidFill>
                <a:srgbClr val="000000"/>
              </a:solidFill>
              <a:latin typeface="Arial"/>
              <a:cs typeface="Arial"/>
            </a:rPr>
            <a:t> considered in NPV calculation-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58</xdr:row>
      <xdr:rowOff>95250</xdr:rowOff>
    </xdr:from>
    <xdr:to>
      <xdr:col>7</xdr:col>
      <xdr:colOff>66675</xdr:colOff>
      <xdr:row>62</xdr:row>
      <xdr:rowOff>66675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00000000-0008-0000-0600-000001080000}"/>
            </a:ext>
          </a:extLst>
        </xdr:cNvPr>
        <xdr:cNvSpPr>
          <a:spLocks noChangeArrowheads="1"/>
        </xdr:cNvSpPr>
      </xdr:nvSpPr>
      <xdr:spPr bwMode="auto">
        <a:xfrm>
          <a:off x="114300" y="8896350"/>
          <a:ext cx="5200650" cy="6381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104775</xdr:colOff>
      <xdr:row>66</xdr:row>
      <xdr:rowOff>104775</xdr:rowOff>
    </xdr:from>
    <xdr:to>
      <xdr:col>7</xdr:col>
      <xdr:colOff>57150</xdr:colOff>
      <xdr:row>68</xdr:row>
      <xdr:rowOff>66675</xdr:rowOff>
    </xdr:to>
    <xdr:sp macro="" textlink="">
      <xdr:nvSpPr>
        <xdr:cNvPr id="2562" name="Rectangle 514">
          <a:extLst>
            <a:ext uri="{FF2B5EF4-FFF2-40B4-BE49-F238E27FC236}">
              <a16:creationId xmlns:a16="http://schemas.microsoft.com/office/drawing/2014/main" id="{00000000-0008-0000-0600-0000020A0000}"/>
            </a:ext>
          </a:extLst>
        </xdr:cNvPr>
        <xdr:cNvSpPr>
          <a:spLocks noChangeArrowheads="1"/>
        </xdr:cNvSpPr>
      </xdr:nvSpPr>
      <xdr:spPr bwMode="auto">
        <a:xfrm>
          <a:off x="104775" y="10239375"/>
          <a:ext cx="5200650" cy="3048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17</xdr:col>
      <xdr:colOff>176742</xdr:colOff>
      <xdr:row>6</xdr:row>
      <xdr:rowOff>142875</xdr:rowOff>
    </xdr:from>
    <xdr:to>
      <xdr:col>39</xdr:col>
      <xdr:colOff>69850</xdr:colOff>
      <xdr:row>19</xdr:row>
      <xdr:rowOff>95250</xdr:rowOff>
    </xdr:to>
    <xdr:graphicFrame macro="">
      <xdr:nvGraphicFramePr>
        <xdr:cNvPr id="5121" name="Chart 1">
          <a:extLst>
            <a:ext uri="{FF2B5EF4-FFF2-40B4-BE49-F238E27FC236}">
              <a16:creationId xmlns:a16="http://schemas.microsoft.com/office/drawing/2014/main" id="{00000000-0008-0000-07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18</xdr:col>
      <xdr:colOff>98425</xdr:colOff>
      <xdr:row>32</xdr:row>
      <xdr:rowOff>19050</xdr:rowOff>
    </xdr:from>
    <xdr:to>
      <xdr:col>39</xdr:col>
      <xdr:colOff>203200</xdr:colOff>
      <xdr:row>43</xdr:row>
      <xdr:rowOff>142875</xdr:rowOff>
    </xdr:to>
    <xdr:graphicFrame macro="">
      <xdr:nvGraphicFramePr>
        <xdr:cNvPr id="5124" name="Chart 4">
          <a:extLst>
            <a:ext uri="{FF2B5EF4-FFF2-40B4-BE49-F238E27FC236}">
              <a16:creationId xmlns:a16="http://schemas.microsoft.com/office/drawing/2014/main" id="{00000000-0008-0000-0700-00000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47625</xdr:colOff>
      <xdr:row>20</xdr:row>
      <xdr:rowOff>57150</xdr:rowOff>
    </xdr:from>
    <xdr:to>
      <xdr:col>40</xdr:col>
      <xdr:colOff>161925</xdr:colOff>
      <xdr:row>31</xdr:row>
      <xdr:rowOff>152400</xdr:rowOff>
    </xdr:to>
    <xdr:graphicFrame macro="">
      <xdr:nvGraphicFramePr>
        <xdr:cNvPr id="5129" name="Chart 9">
          <a:extLst>
            <a:ext uri="{FF2B5EF4-FFF2-40B4-BE49-F238E27FC236}">
              <a16:creationId xmlns:a16="http://schemas.microsoft.com/office/drawing/2014/main" id="{00000000-0008-0000-0700-000009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57150</xdr:colOff>
      <xdr:row>40</xdr:row>
      <xdr:rowOff>26737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591550" cy="65037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126819\Local%20Settings\Temporary%20Internet%20Files\OLK14\BC%20EXCEL%20Model_%20Data%20for%20Valid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ynamicMarkets"/>
      <sheetName val="Reporting"/>
      <sheetName val="Controls"/>
      <sheetName val="Basic Project Info section 1"/>
      <sheetName val="BC assumptions sections 2-5"/>
      <sheetName val="Risk_Opportunity section 6"/>
      <sheetName val="Econ Key Fig section 7_1"/>
      <sheetName val="Sum Cash Flow section 7_2"/>
      <sheetName val="Market Rev &amp; Costs section 7_3"/>
      <sheetName val="Global Costs section 7_4"/>
      <sheetName val="Financial Parameter section 7_5"/>
      <sheetName val="Transfer to SYPOS 2005"/>
    </sheetNames>
    <sheetDataSet>
      <sheetData sheetId="0" refreshError="1"/>
      <sheetData sheetId="1" refreshError="1"/>
      <sheetData sheetId="2" refreshError="1"/>
      <sheetData sheetId="3">
        <row r="21">
          <cell r="D21" t="str">
            <v>Formulation New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57"/>
  <sheetViews>
    <sheetView workbookViewId="0">
      <selection activeCell="C5" sqref="C5:C12"/>
    </sheetView>
  </sheetViews>
  <sheetFormatPr defaultRowHeight="12.75" x14ac:dyDescent="0.2"/>
  <cols>
    <col min="1" max="1" width="37.5703125" customWidth="1"/>
    <col min="2" max="2" width="1.28515625" customWidth="1"/>
    <col min="3" max="3" width="36.28515625" customWidth="1"/>
    <col min="4" max="4" width="1.28515625" customWidth="1"/>
    <col min="5" max="5" width="38.85546875" customWidth="1"/>
  </cols>
  <sheetData>
    <row r="2" spans="1:5" s="86" customFormat="1" ht="15.75" x14ac:dyDescent="0.25">
      <c r="A2" s="85" t="s">
        <v>172</v>
      </c>
      <c r="C2" s="85" t="s">
        <v>54</v>
      </c>
      <c r="E2" s="85" t="s">
        <v>55</v>
      </c>
    </row>
    <row r="4" spans="1:5" x14ac:dyDescent="0.2">
      <c r="A4" s="74" t="s">
        <v>173</v>
      </c>
      <c r="B4" s="74"/>
      <c r="C4" s="87"/>
      <c r="D4" s="87"/>
      <c r="E4" s="87"/>
    </row>
    <row r="5" spans="1:5" x14ac:dyDescent="0.2">
      <c r="C5" s="302" t="s">
        <v>56</v>
      </c>
      <c r="D5" s="87"/>
      <c r="E5" s="302" t="s">
        <v>175</v>
      </c>
    </row>
    <row r="6" spans="1:5" x14ac:dyDescent="0.2">
      <c r="C6" s="302"/>
      <c r="D6" s="87"/>
      <c r="E6" s="303"/>
    </row>
    <row r="7" spans="1:5" x14ac:dyDescent="0.2">
      <c r="C7" s="302"/>
      <c r="D7" s="87"/>
      <c r="E7" s="303"/>
    </row>
    <row r="8" spans="1:5" x14ac:dyDescent="0.2">
      <c r="C8" s="302"/>
      <c r="D8" s="87"/>
      <c r="E8" s="303"/>
    </row>
    <row r="9" spans="1:5" x14ac:dyDescent="0.2">
      <c r="C9" s="302"/>
      <c r="D9" s="87"/>
      <c r="E9" s="303"/>
    </row>
    <row r="10" spans="1:5" x14ac:dyDescent="0.2">
      <c r="C10" s="302"/>
      <c r="D10" s="87"/>
      <c r="E10" s="303"/>
    </row>
    <row r="11" spans="1:5" x14ac:dyDescent="0.2">
      <c r="C11" s="302"/>
      <c r="D11" s="87"/>
      <c r="E11" s="303"/>
    </row>
    <row r="12" spans="1:5" x14ac:dyDescent="0.2">
      <c r="C12" s="302"/>
      <c r="D12" s="87"/>
      <c r="E12" s="303"/>
    </row>
    <row r="13" spans="1:5" x14ac:dyDescent="0.2">
      <c r="C13" s="74"/>
    </row>
    <row r="14" spans="1:5" x14ac:dyDescent="0.2">
      <c r="A14" s="74" t="s">
        <v>146</v>
      </c>
      <c r="C14" s="74"/>
    </row>
    <row r="15" spans="1:5" x14ac:dyDescent="0.2">
      <c r="C15" s="302" t="s">
        <v>158</v>
      </c>
      <c r="E15" s="303" t="s">
        <v>174</v>
      </c>
    </row>
    <row r="16" spans="1:5" x14ac:dyDescent="0.2">
      <c r="C16" s="302"/>
      <c r="E16" s="303"/>
    </row>
    <row r="17" spans="1:5" x14ac:dyDescent="0.2">
      <c r="C17" s="302"/>
      <c r="E17" s="303"/>
    </row>
    <row r="18" spans="1:5" x14ac:dyDescent="0.2">
      <c r="C18" s="302"/>
      <c r="E18" s="303"/>
    </row>
    <row r="19" spans="1:5" x14ac:dyDescent="0.2">
      <c r="C19" s="302"/>
      <c r="E19" s="303"/>
    </row>
    <row r="20" spans="1:5" x14ac:dyDescent="0.2">
      <c r="C20" s="302"/>
      <c r="E20" s="303"/>
    </row>
    <row r="21" spans="1:5" x14ac:dyDescent="0.2">
      <c r="C21" s="302"/>
      <c r="E21" s="303"/>
    </row>
    <row r="22" spans="1:5" x14ac:dyDescent="0.2">
      <c r="A22" s="74" t="s">
        <v>152</v>
      </c>
      <c r="B22" s="74"/>
      <c r="C22" s="222"/>
      <c r="D22" s="87"/>
      <c r="E22" s="87"/>
    </row>
    <row r="23" spans="1:5" x14ac:dyDescent="0.2">
      <c r="C23" s="302" t="s">
        <v>156</v>
      </c>
      <c r="D23" s="87"/>
      <c r="E23" s="304" t="s">
        <v>176</v>
      </c>
    </row>
    <row r="24" spans="1:5" x14ac:dyDescent="0.2">
      <c r="C24" s="302"/>
      <c r="D24" s="87"/>
      <c r="E24" s="303"/>
    </row>
    <row r="25" spans="1:5" x14ac:dyDescent="0.2">
      <c r="C25" s="302"/>
      <c r="D25" s="87"/>
      <c r="E25" s="303"/>
    </row>
    <row r="26" spans="1:5" x14ac:dyDescent="0.2">
      <c r="C26" s="302"/>
      <c r="D26" s="87"/>
      <c r="E26" s="303"/>
    </row>
    <row r="27" spans="1:5" x14ac:dyDescent="0.2">
      <c r="C27" s="302"/>
      <c r="D27" s="87"/>
      <c r="E27" s="303"/>
    </row>
    <row r="28" spans="1:5" x14ac:dyDescent="0.2">
      <c r="C28" s="302"/>
      <c r="D28" s="87"/>
      <c r="E28" s="303"/>
    </row>
    <row r="29" spans="1:5" x14ac:dyDescent="0.2">
      <c r="C29" s="302"/>
      <c r="D29" s="87"/>
      <c r="E29" s="303"/>
    </row>
    <row r="30" spans="1:5" x14ac:dyDescent="0.2">
      <c r="C30" s="222"/>
      <c r="D30" s="87"/>
      <c r="E30" s="87"/>
    </row>
    <row r="31" spans="1:5" x14ac:dyDescent="0.2">
      <c r="A31" s="74" t="s">
        <v>153</v>
      </c>
      <c r="B31" s="74"/>
      <c r="C31" s="222"/>
      <c r="D31" s="87"/>
      <c r="E31" s="87"/>
    </row>
    <row r="32" spans="1:5" x14ac:dyDescent="0.2">
      <c r="C32" s="302" t="s">
        <v>57</v>
      </c>
      <c r="D32" s="87"/>
      <c r="E32" s="303" t="s">
        <v>157</v>
      </c>
    </row>
    <row r="33" spans="1:5" x14ac:dyDescent="0.2">
      <c r="C33" s="302"/>
      <c r="D33" s="87"/>
      <c r="E33" s="303"/>
    </row>
    <row r="34" spans="1:5" x14ac:dyDescent="0.2">
      <c r="C34" s="302"/>
      <c r="D34" s="87"/>
      <c r="E34" s="303"/>
    </row>
    <row r="35" spans="1:5" x14ac:dyDescent="0.2">
      <c r="C35" s="302"/>
      <c r="D35" s="87"/>
      <c r="E35" s="303"/>
    </row>
    <row r="36" spans="1:5" x14ac:dyDescent="0.2">
      <c r="C36" s="302"/>
      <c r="D36" s="87"/>
      <c r="E36" s="303"/>
    </row>
    <row r="37" spans="1:5" x14ac:dyDescent="0.2">
      <c r="C37" s="302"/>
      <c r="D37" s="87"/>
      <c r="E37" s="303"/>
    </row>
    <row r="38" spans="1:5" x14ac:dyDescent="0.2">
      <c r="C38" s="302"/>
      <c r="D38" s="87"/>
      <c r="E38" s="303"/>
    </row>
    <row r="39" spans="1:5" x14ac:dyDescent="0.2">
      <c r="C39" s="302"/>
      <c r="D39" s="87"/>
      <c r="E39" s="303"/>
    </row>
    <row r="40" spans="1:5" x14ac:dyDescent="0.2">
      <c r="C40" s="302"/>
      <c r="D40" s="87"/>
      <c r="E40" s="303"/>
    </row>
    <row r="41" spans="1:5" x14ac:dyDescent="0.2">
      <c r="C41" s="302"/>
      <c r="D41" s="87"/>
      <c r="E41" s="303"/>
    </row>
    <row r="42" spans="1:5" x14ac:dyDescent="0.2">
      <c r="C42" s="302"/>
      <c r="D42" s="87"/>
      <c r="E42" s="303"/>
    </row>
    <row r="43" spans="1:5" x14ac:dyDescent="0.2">
      <c r="C43" s="302"/>
      <c r="D43" s="87"/>
      <c r="E43" s="303"/>
    </row>
    <row r="44" spans="1:5" x14ac:dyDescent="0.2">
      <c r="C44" s="302"/>
      <c r="D44" s="87"/>
      <c r="E44" s="303"/>
    </row>
    <row r="45" spans="1:5" x14ac:dyDescent="0.2">
      <c r="C45" s="222"/>
      <c r="D45" s="87"/>
      <c r="E45" s="87"/>
    </row>
    <row r="46" spans="1:5" x14ac:dyDescent="0.2">
      <c r="A46" s="74" t="s">
        <v>154</v>
      </c>
      <c r="B46" s="74"/>
      <c r="C46" s="222"/>
      <c r="D46" s="87"/>
      <c r="E46" s="87"/>
    </row>
    <row r="47" spans="1:5" x14ac:dyDescent="0.2">
      <c r="C47" s="302" t="s">
        <v>159</v>
      </c>
      <c r="D47" s="87"/>
      <c r="E47" s="303" t="s">
        <v>155</v>
      </c>
    </row>
    <row r="48" spans="1:5" x14ac:dyDescent="0.2">
      <c r="C48" s="302"/>
      <c r="D48" s="87"/>
      <c r="E48" s="303"/>
    </row>
    <row r="49" spans="3:5" x14ac:dyDescent="0.2">
      <c r="C49" s="302"/>
      <c r="D49" s="87"/>
      <c r="E49" s="303"/>
    </row>
    <row r="50" spans="3:5" x14ac:dyDescent="0.2">
      <c r="C50" s="302"/>
      <c r="D50" s="87"/>
      <c r="E50" s="303"/>
    </row>
    <row r="51" spans="3:5" x14ac:dyDescent="0.2">
      <c r="C51" s="302"/>
      <c r="D51" s="87"/>
      <c r="E51" s="303"/>
    </row>
    <row r="52" spans="3:5" x14ac:dyDescent="0.2">
      <c r="C52" s="302"/>
      <c r="D52" s="87"/>
      <c r="E52" s="303"/>
    </row>
    <row r="53" spans="3:5" x14ac:dyDescent="0.2">
      <c r="C53" s="302"/>
      <c r="D53" s="87"/>
      <c r="E53" s="303"/>
    </row>
    <row r="54" spans="3:5" x14ac:dyDescent="0.2">
      <c r="C54" s="302"/>
      <c r="D54" s="87"/>
      <c r="E54" s="303"/>
    </row>
    <row r="55" spans="3:5" x14ac:dyDescent="0.2">
      <c r="C55" s="302"/>
      <c r="D55" s="87"/>
      <c r="E55" s="303"/>
    </row>
    <row r="56" spans="3:5" x14ac:dyDescent="0.2">
      <c r="C56" s="302"/>
      <c r="D56" s="87"/>
      <c r="E56" s="303"/>
    </row>
    <row r="57" spans="3:5" x14ac:dyDescent="0.2">
      <c r="C57" s="302"/>
      <c r="D57" s="87"/>
      <c r="E57" s="303"/>
    </row>
  </sheetData>
  <mergeCells count="10">
    <mergeCell ref="C5:C12"/>
    <mergeCell ref="E5:E12"/>
    <mergeCell ref="C47:C57"/>
    <mergeCell ref="E47:E57"/>
    <mergeCell ref="C23:C29"/>
    <mergeCell ref="E23:E29"/>
    <mergeCell ref="C32:C44"/>
    <mergeCell ref="E32:E44"/>
    <mergeCell ref="C15:C21"/>
    <mergeCell ref="E15:E21"/>
  </mergeCells>
  <phoneticPr fontId="2" type="noConversion"/>
  <pageMargins left="0.72" right="0.18" top="0.55000000000000004" bottom="0.51" header="0.41" footer="0.27"/>
  <pageSetup paperSize="9" scale="73" orientation="portrait" r:id="rId1"/>
  <headerFooter alignWithMargins="0">
    <oddFooter>&amp;C&amp;F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3:G14"/>
  <sheetViews>
    <sheetView workbookViewId="0">
      <selection activeCell="C24" sqref="C24"/>
    </sheetView>
  </sheetViews>
  <sheetFormatPr defaultRowHeight="12.75" x14ac:dyDescent="0.2"/>
  <cols>
    <col min="3" max="3" width="36" customWidth="1"/>
    <col min="4" max="4" width="2" customWidth="1"/>
  </cols>
  <sheetData>
    <row r="3" spans="3:7" ht="20.25" x14ac:dyDescent="0.3">
      <c r="C3" s="287" t="s">
        <v>215</v>
      </c>
      <c r="D3" s="287"/>
      <c r="E3" s="287"/>
      <c r="F3" s="287"/>
      <c r="G3" s="287"/>
    </row>
    <row r="4" spans="3:7" ht="20.25" x14ac:dyDescent="0.3">
      <c r="C4" s="287" t="s">
        <v>226</v>
      </c>
      <c r="D4" s="287"/>
      <c r="E4" s="287"/>
      <c r="F4" s="287"/>
      <c r="G4" s="287"/>
    </row>
    <row r="5" spans="3:7" ht="20.25" x14ac:dyDescent="0.3">
      <c r="C5" s="287" t="s">
        <v>227</v>
      </c>
      <c r="D5" s="287"/>
      <c r="E5" s="287"/>
      <c r="F5" s="287"/>
      <c r="G5" s="287"/>
    </row>
    <row r="6" spans="3:7" ht="20.25" x14ac:dyDescent="0.3">
      <c r="C6" s="287" t="s">
        <v>216</v>
      </c>
      <c r="D6" s="287"/>
      <c r="E6" s="287"/>
      <c r="F6" s="287"/>
      <c r="G6" s="287"/>
    </row>
    <row r="7" spans="3:7" ht="20.25" x14ac:dyDescent="0.3">
      <c r="C7" s="287"/>
      <c r="D7" s="287"/>
      <c r="E7" s="287"/>
      <c r="F7" s="287"/>
      <c r="G7" s="287"/>
    </row>
    <row r="8" spans="3:7" ht="20.25" x14ac:dyDescent="0.3">
      <c r="C8" s="287" t="s">
        <v>217</v>
      </c>
      <c r="D8" s="287" t="s">
        <v>218</v>
      </c>
      <c r="E8" s="287"/>
      <c r="F8" s="287"/>
      <c r="G8" s="287"/>
    </row>
    <row r="9" spans="3:7" ht="20.25" x14ac:dyDescent="0.3">
      <c r="C9" s="287"/>
      <c r="D9" s="287" t="s">
        <v>219</v>
      </c>
      <c r="E9" s="287"/>
      <c r="F9" s="287"/>
      <c r="G9" s="287"/>
    </row>
    <row r="10" spans="3:7" ht="20.25" x14ac:dyDescent="0.3">
      <c r="C10" s="287"/>
      <c r="D10" s="287"/>
      <c r="E10" s="287"/>
      <c r="F10" s="287"/>
      <c r="G10" s="287"/>
    </row>
    <row r="11" spans="3:7" ht="20.25" x14ac:dyDescent="0.3">
      <c r="C11" s="287" t="s">
        <v>225</v>
      </c>
      <c r="D11" s="287"/>
      <c r="E11" s="287"/>
      <c r="F11" s="287"/>
      <c r="G11" s="287"/>
    </row>
    <row r="12" spans="3:7" ht="20.25" x14ac:dyDescent="0.3">
      <c r="C12" s="287"/>
      <c r="D12" s="287"/>
      <c r="E12" s="287"/>
      <c r="F12" s="287"/>
      <c r="G12" s="287"/>
    </row>
    <row r="13" spans="3:7" ht="20.25" x14ac:dyDescent="0.3">
      <c r="C13" s="287"/>
      <c r="D13" s="287"/>
      <c r="E13" s="287"/>
      <c r="F13" s="287"/>
      <c r="G13" s="287"/>
    </row>
    <row r="14" spans="3:7" ht="20.25" x14ac:dyDescent="0.3">
      <c r="C14" s="287" t="s">
        <v>220</v>
      </c>
      <c r="D14" s="287"/>
      <c r="E14" s="287" t="s">
        <v>221</v>
      </c>
      <c r="F14" s="287"/>
      <c r="G14" s="28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1" sqref="D31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3"/>
  <sheetViews>
    <sheetView topLeftCell="C25" workbookViewId="0">
      <selection activeCell="H22" sqref="H22"/>
    </sheetView>
  </sheetViews>
  <sheetFormatPr defaultRowHeight="12.75" x14ac:dyDescent="0.2"/>
  <cols>
    <col min="1" max="2" width="1.42578125" customWidth="1"/>
    <col min="3" max="3" width="3.28515625" customWidth="1"/>
    <col min="4" max="4" width="39.28515625" style="1" customWidth="1"/>
    <col min="5" max="5" width="3.5703125" style="1" customWidth="1"/>
    <col min="6" max="6" width="12.28515625" style="4" customWidth="1"/>
    <col min="7" max="7" width="3.5703125" style="4" customWidth="1"/>
    <col min="8" max="8" width="67.42578125" customWidth="1"/>
  </cols>
  <sheetData>
    <row r="1" spans="1:10" s="3" customFormat="1" ht="15.75" x14ac:dyDescent="0.2">
      <c r="A1" s="5" t="s">
        <v>235</v>
      </c>
      <c r="B1" s="5"/>
      <c r="C1" s="5"/>
      <c r="D1" s="6"/>
      <c r="E1" s="6"/>
      <c r="F1" s="7"/>
      <c r="G1" s="7"/>
      <c r="H1" s="6"/>
      <c r="I1" s="241"/>
      <c r="J1" s="241"/>
    </row>
    <row r="2" spans="1:10" x14ac:dyDescent="0.2">
      <c r="A2" s="175"/>
      <c r="B2" s="8"/>
      <c r="C2" s="8"/>
      <c r="D2" s="9"/>
      <c r="E2" s="9"/>
      <c r="F2" s="10"/>
      <c r="G2" s="10"/>
      <c r="H2" s="8"/>
      <c r="I2" s="242"/>
      <c r="J2" s="242"/>
    </row>
    <row r="3" spans="1:10" x14ac:dyDescent="0.2">
      <c r="A3" s="8"/>
      <c r="B3" s="8"/>
      <c r="C3" s="8"/>
      <c r="D3" s="9"/>
      <c r="E3" s="9"/>
      <c r="F3" s="10"/>
      <c r="G3" s="10"/>
      <c r="H3" s="8"/>
      <c r="I3" s="242"/>
      <c r="J3" s="242"/>
    </row>
    <row r="4" spans="1:10" x14ac:dyDescent="0.2">
      <c r="A4" s="12"/>
      <c r="B4" s="14"/>
      <c r="C4" s="167" t="s">
        <v>4</v>
      </c>
      <c r="D4" s="168"/>
      <c r="E4" s="173"/>
      <c r="F4" s="169" t="s">
        <v>5</v>
      </c>
      <c r="G4" s="174"/>
      <c r="H4" s="170" t="s">
        <v>0</v>
      </c>
      <c r="I4" s="245"/>
      <c r="J4" s="245"/>
    </row>
    <row r="5" spans="1:10" x14ac:dyDescent="0.2">
      <c r="A5" s="12"/>
      <c r="B5" s="14"/>
      <c r="C5" s="13"/>
      <c r="D5" s="9"/>
      <c r="E5" s="9"/>
      <c r="F5" s="10"/>
      <c r="G5" s="10"/>
      <c r="H5" s="8"/>
      <c r="I5" s="242"/>
      <c r="J5" s="242"/>
    </row>
    <row r="6" spans="1:10" x14ac:dyDescent="0.2">
      <c r="A6" s="12"/>
      <c r="B6" s="14"/>
      <c r="C6" s="13"/>
      <c r="D6" s="11" t="s">
        <v>117</v>
      </c>
      <c r="E6" s="11"/>
      <c r="F6" s="297">
        <v>15</v>
      </c>
      <c r="G6" s="147"/>
      <c r="H6" s="8"/>
      <c r="I6" s="242"/>
      <c r="J6" s="242"/>
    </row>
    <row r="7" spans="1:10" x14ac:dyDescent="0.2">
      <c r="A7" s="12"/>
      <c r="B7" s="14"/>
      <c r="C7" s="13"/>
      <c r="D7" s="11" t="s">
        <v>20</v>
      </c>
      <c r="E7" s="11"/>
      <c r="F7" s="297" t="s">
        <v>228</v>
      </c>
      <c r="G7" s="147"/>
      <c r="H7" s="8" t="s">
        <v>109</v>
      </c>
      <c r="I7" s="242"/>
      <c r="J7" s="242"/>
    </row>
    <row r="8" spans="1:10" x14ac:dyDescent="0.2">
      <c r="A8" s="12"/>
      <c r="B8" s="14"/>
      <c r="C8" s="14"/>
      <c r="D8" s="239" t="s">
        <v>103</v>
      </c>
      <c r="E8" s="11"/>
      <c r="F8" s="296">
        <v>0.16</v>
      </c>
      <c r="G8" s="171"/>
      <c r="H8" s="267" t="s">
        <v>233</v>
      </c>
      <c r="I8" s="242"/>
      <c r="J8" s="242"/>
    </row>
    <row r="9" spans="1:10" x14ac:dyDescent="0.2">
      <c r="A9" s="12"/>
      <c r="B9" s="14"/>
      <c r="C9" s="14"/>
      <c r="D9" s="11" t="s">
        <v>200</v>
      </c>
      <c r="E9" s="11"/>
      <c r="F9" s="298">
        <v>0</v>
      </c>
      <c r="G9" s="171"/>
      <c r="H9" s="8" t="s">
        <v>3</v>
      </c>
      <c r="I9" s="242"/>
      <c r="J9" s="242"/>
    </row>
    <row r="10" spans="1:10" x14ac:dyDescent="0.2">
      <c r="A10" s="12"/>
      <c r="B10" s="14"/>
      <c r="C10" s="14"/>
      <c r="D10" s="11" t="s">
        <v>6</v>
      </c>
      <c r="E10" s="11"/>
      <c r="F10" s="26"/>
      <c r="G10" s="26"/>
      <c r="H10" s="8"/>
      <c r="I10" s="242"/>
      <c r="J10" s="242"/>
    </row>
    <row r="11" spans="1:10" x14ac:dyDescent="0.2">
      <c r="A11" s="12"/>
      <c r="B11" s="14"/>
      <c r="C11" s="14"/>
      <c r="D11" s="15" t="s">
        <v>41</v>
      </c>
      <c r="E11" s="15"/>
      <c r="F11" s="299">
        <v>0.1</v>
      </c>
      <c r="G11" s="172"/>
      <c r="H11" s="8" t="s">
        <v>115</v>
      </c>
      <c r="I11" s="242"/>
      <c r="J11" s="242"/>
    </row>
    <row r="12" spans="1:10" x14ac:dyDescent="0.2">
      <c r="A12" s="12"/>
      <c r="B12" s="14"/>
      <c r="C12" s="14"/>
      <c r="D12" s="15" t="s">
        <v>12</v>
      </c>
      <c r="E12" s="15"/>
      <c r="F12" s="299">
        <v>0.06</v>
      </c>
      <c r="G12" s="172"/>
      <c r="H12" s="8"/>
      <c r="I12" s="242"/>
      <c r="J12" s="242"/>
    </row>
    <row r="13" spans="1:10" x14ac:dyDescent="0.2">
      <c r="A13" s="12"/>
      <c r="B13" s="14"/>
      <c r="C13" s="14"/>
      <c r="D13" s="15" t="s">
        <v>82</v>
      </c>
      <c r="E13" s="15"/>
      <c r="F13" s="300">
        <v>0</v>
      </c>
      <c r="G13" s="172"/>
      <c r="H13" s="267" t="s">
        <v>234</v>
      </c>
      <c r="I13" s="242"/>
      <c r="J13" s="242"/>
    </row>
    <row r="14" spans="1:10" x14ac:dyDescent="0.2">
      <c r="A14" s="12"/>
      <c r="B14" s="14"/>
      <c r="C14" s="13"/>
      <c r="D14" s="11" t="s">
        <v>78</v>
      </c>
      <c r="E14" s="11"/>
      <c r="F14" s="297" t="s">
        <v>177</v>
      </c>
      <c r="G14" s="147"/>
      <c r="H14" s="8"/>
      <c r="I14" s="242"/>
      <c r="J14" s="242"/>
    </row>
    <row r="15" spans="1:10" x14ac:dyDescent="0.2">
      <c r="A15" s="12"/>
      <c r="B15" s="14"/>
      <c r="C15" s="14"/>
      <c r="D15" s="16" t="s">
        <v>104</v>
      </c>
      <c r="E15" s="16"/>
      <c r="F15" s="298">
        <v>0</v>
      </c>
      <c r="G15" s="171"/>
      <c r="H15" s="18"/>
      <c r="I15" s="242"/>
      <c r="J15" s="242"/>
    </row>
    <row r="16" spans="1:10" x14ac:dyDescent="0.2">
      <c r="A16" s="12"/>
      <c r="B16" s="14"/>
      <c r="C16" s="14"/>
      <c r="D16" s="16" t="s">
        <v>110</v>
      </c>
      <c r="E16" s="16"/>
      <c r="F16" s="26"/>
      <c r="G16" s="26"/>
      <c r="H16" s="8"/>
      <c r="I16" s="242"/>
      <c r="J16" s="242"/>
    </row>
    <row r="17" spans="1:10" x14ac:dyDescent="0.2">
      <c r="A17" s="12"/>
      <c r="B17" s="14"/>
      <c r="C17" s="14"/>
      <c r="D17" s="145" t="s">
        <v>100</v>
      </c>
      <c r="E17" s="145"/>
      <c r="F17" s="301">
        <v>0.625</v>
      </c>
      <c r="G17" s="172"/>
      <c r="H17" s="8" t="s">
        <v>116</v>
      </c>
      <c r="I17" s="242"/>
      <c r="J17" s="242"/>
    </row>
    <row r="18" spans="1:10" x14ac:dyDescent="0.2">
      <c r="A18" s="12"/>
      <c r="B18" s="14"/>
      <c r="C18" s="14"/>
      <c r="D18" s="145" t="s">
        <v>111</v>
      </c>
      <c r="E18" s="145"/>
      <c r="F18" s="299">
        <v>0.35</v>
      </c>
      <c r="G18" s="172"/>
      <c r="H18" s="8" t="s">
        <v>99</v>
      </c>
      <c r="I18" s="242"/>
      <c r="J18" s="242"/>
    </row>
    <row r="19" spans="1:10" x14ac:dyDescent="0.2">
      <c r="A19" s="12"/>
      <c r="B19" s="14"/>
      <c r="C19" s="14"/>
      <c r="D19" s="145" t="s">
        <v>112</v>
      </c>
      <c r="E19" s="145"/>
      <c r="F19" s="301">
        <v>-0.2</v>
      </c>
      <c r="G19" s="172"/>
      <c r="H19" s="8" t="s">
        <v>99</v>
      </c>
      <c r="I19" s="242"/>
      <c r="J19" s="242"/>
    </row>
    <row r="20" spans="1:10" x14ac:dyDescent="0.2">
      <c r="A20" s="12"/>
      <c r="B20" s="14"/>
      <c r="C20" s="14"/>
      <c r="D20" s="11" t="s">
        <v>7</v>
      </c>
      <c r="E20" s="11"/>
      <c r="F20" s="298">
        <v>0.25</v>
      </c>
      <c r="G20" s="171"/>
      <c r="H20" s="8"/>
      <c r="I20" s="242"/>
      <c r="J20" s="242"/>
    </row>
    <row r="21" spans="1:10" x14ac:dyDescent="0.2">
      <c r="A21" s="12"/>
      <c r="B21" s="14"/>
      <c r="C21" s="8"/>
      <c r="D21" s="9"/>
      <c r="E21" s="9"/>
      <c r="F21" s="10"/>
      <c r="G21" s="10"/>
      <c r="H21" s="8"/>
      <c r="I21" s="242"/>
      <c r="J21" s="242"/>
    </row>
    <row r="22" spans="1:10" x14ac:dyDescent="0.2">
      <c r="A22" s="246"/>
      <c r="B22" s="242"/>
      <c r="C22" s="242"/>
      <c r="D22" s="243"/>
      <c r="E22" s="243"/>
      <c r="F22" s="244"/>
      <c r="G22" s="244"/>
      <c r="H22" s="242"/>
      <c r="I22" s="242"/>
      <c r="J22" s="242"/>
    </row>
    <row r="23" spans="1:10" x14ac:dyDescent="0.2">
      <c r="A23" s="246"/>
      <c r="B23" s="242"/>
      <c r="C23" s="242"/>
      <c r="D23" s="243"/>
      <c r="E23" s="243"/>
      <c r="F23" s="244"/>
      <c r="G23" s="244"/>
      <c r="H23" s="242"/>
      <c r="I23" s="242"/>
      <c r="J23" s="242"/>
    </row>
    <row r="24" spans="1:10" ht="60.75" x14ac:dyDescent="0.2">
      <c r="A24" s="246"/>
      <c r="B24" s="242"/>
      <c r="C24" s="242"/>
      <c r="D24" s="240" t="s">
        <v>178</v>
      </c>
      <c r="E24" s="248"/>
      <c r="F24" s="249"/>
      <c r="G24" s="244"/>
      <c r="H24" s="245"/>
    </row>
    <row r="25" spans="1:10" x14ac:dyDescent="0.2">
      <c r="A25" s="247"/>
      <c r="B25" s="242"/>
      <c r="C25" s="242"/>
      <c r="D25" s="243"/>
      <c r="E25" s="243"/>
      <c r="F25" s="244"/>
      <c r="G25" s="244"/>
      <c r="H25" s="242"/>
    </row>
    <row r="26" spans="1:10" x14ac:dyDescent="0.2">
      <c r="A26" s="247"/>
      <c r="B26" s="242"/>
      <c r="C26" s="242"/>
      <c r="D26" s="243"/>
      <c r="E26" s="243"/>
      <c r="F26" s="244"/>
      <c r="G26" s="244"/>
      <c r="H26" s="242"/>
    </row>
    <row r="27" spans="1:10" x14ac:dyDescent="0.2">
      <c r="A27" s="247"/>
      <c r="B27" s="242"/>
      <c r="C27" s="242"/>
      <c r="D27" s="243"/>
      <c r="E27" s="243"/>
      <c r="F27" s="244"/>
      <c r="G27" s="244"/>
      <c r="H27" s="242"/>
    </row>
    <row r="28" spans="1:10" x14ac:dyDescent="0.2">
      <c r="A28" s="247"/>
      <c r="B28" s="242"/>
      <c r="C28" s="242"/>
      <c r="D28" s="243"/>
      <c r="E28" s="243"/>
      <c r="F28" s="244"/>
      <c r="G28" s="244"/>
      <c r="H28" s="242"/>
    </row>
    <row r="29" spans="1:10" x14ac:dyDescent="0.2">
      <c r="A29" s="247"/>
      <c r="B29" s="242"/>
      <c r="C29" s="242"/>
      <c r="D29" s="243"/>
      <c r="E29" s="243"/>
      <c r="F29" s="244"/>
      <c r="G29" s="244"/>
      <c r="H29" s="242"/>
    </row>
    <row r="30" spans="1:10" x14ac:dyDescent="0.2">
      <c r="A30" s="247"/>
      <c r="B30" s="242"/>
      <c r="C30" s="242"/>
      <c r="D30" s="243"/>
      <c r="E30" s="243"/>
      <c r="F30" s="244"/>
      <c r="G30" s="244"/>
      <c r="H30" s="242"/>
    </row>
    <row r="31" spans="1:10" x14ac:dyDescent="0.2">
      <c r="A31" s="247"/>
      <c r="B31" s="242"/>
      <c r="C31" s="242"/>
      <c r="D31" s="243"/>
      <c r="E31" s="243"/>
      <c r="F31" s="244"/>
      <c r="G31" s="244"/>
      <c r="H31" s="242"/>
    </row>
    <row r="32" spans="1:10" x14ac:dyDescent="0.2">
      <c r="A32" s="247"/>
      <c r="B32" s="242"/>
      <c r="C32" s="242"/>
      <c r="D32" s="243"/>
      <c r="E32" s="243"/>
      <c r="F32" s="244"/>
      <c r="G32" s="244"/>
      <c r="H32" s="242"/>
    </row>
    <row r="33" spans="1:8" x14ac:dyDescent="0.2">
      <c r="A33" s="247"/>
      <c r="B33" s="242"/>
      <c r="C33" s="242"/>
      <c r="D33" s="243"/>
      <c r="E33" s="243"/>
      <c r="F33" s="244"/>
      <c r="G33" s="244"/>
      <c r="H33" s="242"/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93" orientation="landscape" r:id="rId1"/>
  <headerFooter alignWithMargins="0">
    <oddFooter>&amp;C&amp;F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G80"/>
  <sheetViews>
    <sheetView tabSelected="1" workbookViewId="0">
      <selection activeCell="D19" sqref="D19:D20"/>
    </sheetView>
  </sheetViews>
  <sheetFormatPr defaultRowHeight="12.75" x14ac:dyDescent="0.2"/>
  <cols>
    <col min="1" max="2" width="4.28515625" customWidth="1"/>
    <col min="3" max="3" width="36.28515625" customWidth="1"/>
    <col min="4" max="4" width="48.85546875" style="87" customWidth="1"/>
    <col min="5" max="5" width="2.28515625" style="219" customWidth="1"/>
    <col min="6" max="6" width="43.140625" style="220" customWidth="1"/>
    <col min="7" max="7" width="33.28515625" style="219" customWidth="1"/>
  </cols>
  <sheetData>
    <row r="1" spans="1:7" s="2" customFormat="1" ht="24.75" customHeight="1" thickBot="1" x14ac:dyDescent="0.25">
      <c r="A1" s="224" t="s">
        <v>138</v>
      </c>
      <c r="B1" s="225"/>
      <c r="C1" s="225"/>
      <c r="D1" s="226"/>
      <c r="E1" s="227"/>
      <c r="F1" s="228"/>
      <c r="G1" s="1"/>
    </row>
    <row r="2" spans="1:7" x14ac:dyDescent="0.2">
      <c r="A2" s="8"/>
      <c r="B2" s="8"/>
      <c r="C2" s="8"/>
      <c r="D2" s="229"/>
      <c r="E2" s="230"/>
      <c r="F2" s="231"/>
    </row>
    <row r="3" spans="1:7" s="218" customFormat="1" ht="15.75" x14ac:dyDescent="0.2">
      <c r="A3" s="232" t="s">
        <v>139</v>
      </c>
      <c r="B3" s="233"/>
      <c r="C3" s="233"/>
      <c r="D3" s="229"/>
      <c r="E3" s="230"/>
      <c r="F3" s="231"/>
      <c r="G3" s="219"/>
    </row>
    <row r="4" spans="1:7" s="218" customFormat="1" x14ac:dyDescent="0.2">
      <c r="A4" s="233"/>
      <c r="B4" s="234" t="s">
        <v>140</v>
      </c>
      <c r="C4" s="233"/>
      <c r="D4" s="229"/>
      <c r="E4" s="230"/>
      <c r="F4" s="235" t="s">
        <v>55</v>
      </c>
      <c r="G4" s="221"/>
    </row>
    <row r="5" spans="1:7" s="218" customFormat="1" x14ac:dyDescent="0.2">
      <c r="A5" s="233"/>
      <c r="B5" s="233"/>
      <c r="C5" s="233" t="s">
        <v>165</v>
      </c>
      <c r="D5" s="288" t="s">
        <v>236</v>
      </c>
      <c r="E5" s="230"/>
      <c r="F5" s="307" t="s">
        <v>164</v>
      </c>
      <c r="G5" s="219"/>
    </row>
    <row r="6" spans="1:7" s="218" customFormat="1" x14ac:dyDescent="0.2">
      <c r="A6" s="233"/>
      <c r="B6" s="233"/>
      <c r="C6" s="233" t="s">
        <v>166</v>
      </c>
      <c r="D6" s="237" t="s">
        <v>237</v>
      </c>
      <c r="E6" s="230"/>
      <c r="F6" s="307"/>
      <c r="G6" s="219"/>
    </row>
    <row r="7" spans="1:7" s="218" customFormat="1" x14ac:dyDescent="0.2">
      <c r="A7" s="233"/>
      <c r="B7" s="233"/>
      <c r="C7" s="233" t="s">
        <v>72</v>
      </c>
      <c r="D7" s="237"/>
      <c r="E7" s="230"/>
      <c r="F7" s="307"/>
      <c r="G7" s="219"/>
    </row>
    <row r="8" spans="1:7" s="218" customFormat="1" x14ac:dyDescent="0.2">
      <c r="A8" s="233"/>
      <c r="B8" s="233"/>
      <c r="C8" s="233" t="s">
        <v>127</v>
      </c>
      <c r="D8" s="237"/>
      <c r="E8" s="230"/>
      <c r="F8" s="307"/>
      <c r="G8" s="219"/>
    </row>
    <row r="9" spans="1:7" s="218" customFormat="1" x14ac:dyDescent="0.2">
      <c r="A9" s="233"/>
      <c r="B9" s="233"/>
      <c r="C9" s="233" t="s">
        <v>130</v>
      </c>
      <c r="D9" s="237"/>
      <c r="E9" s="230"/>
      <c r="F9" s="307"/>
      <c r="G9" s="219"/>
    </row>
    <row r="10" spans="1:7" s="218" customFormat="1" x14ac:dyDescent="0.2">
      <c r="A10" s="233"/>
      <c r="B10" s="233"/>
      <c r="C10" s="233" t="s">
        <v>124</v>
      </c>
      <c r="D10" s="237"/>
      <c r="E10" s="230"/>
      <c r="F10" s="307"/>
      <c r="G10" s="219"/>
    </row>
    <row r="11" spans="1:7" s="218" customFormat="1" x14ac:dyDescent="0.2">
      <c r="A11" s="233"/>
      <c r="B11" s="233"/>
      <c r="C11" s="233" t="s">
        <v>125</v>
      </c>
      <c r="D11" s="288" t="s">
        <v>238</v>
      </c>
      <c r="E11" s="230"/>
      <c r="F11" s="308"/>
      <c r="G11" s="219"/>
    </row>
    <row r="12" spans="1:7" s="218" customFormat="1" x14ac:dyDescent="0.2">
      <c r="A12" s="233"/>
      <c r="B12" s="233"/>
      <c r="C12" s="233"/>
      <c r="D12" s="229"/>
      <c r="E12" s="230"/>
      <c r="F12" s="308"/>
      <c r="G12" s="219"/>
    </row>
    <row r="13" spans="1:7" s="218" customFormat="1" x14ac:dyDescent="0.2">
      <c r="A13" s="233"/>
      <c r="B13" s="234" t="s">
        <v>126</v>
      </c>
      <c r="C13" s="233"/>
      <c r="D13" s="229"/>
      <c r="E13" s="230"/>
      <c r="F13" s="308"/>
      <c r="G13" s="238"/>
    </row>
    <row r="14" spans="1:7" s="218" customFormat="1" x14ac:dyDescent="0.2">
      <c r="A14" s="233"/>
      <c r="B14" s="233"/>
      <c r="C14" s="233" t="s">
        <v>128</v>
      </c>
      <c r="D14" s="292" t="s">
        <v>239</v>
      </c>
      <c r="E14" s="230"/>
      <c r="F14" s="308"/>
      <c r="G14" s="238"/>
    </row>
    <row r="15" spans="1:7" s="218" customFormat="1" x14ac:dyDescent="0.2">
      <c r="A15" s="233"/>
      <c r="B15" s="233"/>
      <c r="C15" s="233" t="s">
        <v>129</v>
      </c>
      <c r="D15" s="292" t="s">
        <v>240</v>
      </c>
      <c r="E15" s="230"/>
      <c r="F15" s="308"/>
      <c r="G15" s="219"/>
    </row>
    <row r="16" spans="1:7" s="218" customFormat="1" x14ac:dyDescent="0.2">
      <c r="A16" s="233"/>
      <c r="B16" s="233"/>
      <c r="C16" s="233" t="s">
        <v>131</v>
      </c>
      <c r="D16" s="288" t="s">
        <v>239</v>
      </c>
      <c r="E16" s="230"/>
      <c r="F16" s="308"/>
      <c r="G16" s="219"/>
    </row>
    <row r="17" spans="1:7" s="218" customFormat="1" x14ac:dyDescent="0.2">
      <c r="A17" s="233"/>
      <c r="B17" s="233"/>
      <c r="C17" s="233"/>
      <c r="D17" s="229"/>
      <c r="E17" s="230"/>
      <c r="F17" s="231"/>
      <c r="G17" s="219"/>
    </row>
    <row r="18" spans="1:7" s="218" customFormat="1" ht="15.75" x14ac:dyDescent="0.2">
      <c r="A18" s="232" t="s">
        <v>136</v>
      </c>
      <c r="B18" s="233"/>
      <c r="C18" s="233"/>
      <c r="D18" s="229"/>
      <c r="E18" s="230"/>
      <c r="F18" s="231"/>
      <c r="G18" s="219"/>
    </row>
    <row r="19" spans="1:7" s="218" customFormat="1" ht="51.75" customHeight="1" x14ac:dyDescent="0.2">
      <c r="A19" s="233"/>
      <c r="B19" s="234">
        <v>2.1</v>
      </c>
      <c r="C19" s="234" t="s">
        <v>132</v>
      </c>
      <c r="D19" s="305"/>
      <c r="E19" s="230"/>
      <c r="F19" s="231" t="s">
        <v>160</v>
      </c>
      <c r="G19" s="219"/>
    </row>
    <row r="20" spans="1:7" s="218" customFormat="1" ht="51.75" customHeight="1" x14ac:dyDescent="0.2">
      <c r="A20" s="233"/>
      <c r="B20" s="234"/>
      <c r="C20" s="234"/>
      <c r="D20" s="306"/>
      <c r="E20" s="230"/>
      <c r="F20" s="231"/>
      <c r="G20" s="219"/>
    </row>
    <row r="21" spans="1:7" s="218" customFormat="1" ht="51.75" customHeight="1" x14ac:dyDescent="0.2">
      <c r="A21" s="233"/>
      <c r="B21" s="234">
        <v>2.2000000000000002</v>
      </c>
      <c r="C21" s="234" t="s">
        <v>141</v>
      </c>
      <c r="D21" s="305"/>
      <c r="E21" s="230"/>
      <c r="F21" s="231" t="s">
        <v>161</v>
      </c>
      <c r="G21" s="219"/>
    </row>
    <row r="22" spans="1:7" s="218" customFormat="1" ht="51.75" customHeight="1" x14ac:dyDescent="0.2">
      <c r="A22" s="233"/>
      <c r="B22" s="234"/>
      <c r="C22" s="234"/>
      <c r="D22" s="306"/>
      <c r="E22" s="230"/>
      <c r="F22" s="231"/>
      <c r="G22" s="219"/>
    </row>
    <row r="23" spans="1:7" s="218" customFormat="1" ht="51.75" customHeight="1" x14ac:dyDescent="0.2">
      <c r="A23" s="233"/>
      <c r="B23" s="234">
        <v>2.2999999999999998</v>
      </c>
      <c r="C23" s="234" t="s">
        <v>148</v>
      </c>
      <c r="D23" s="305"/>
      <c r="E23" s="230"/>
      <c r="F23" s="231" t="s">
        <v>147</v>
      </c>
      <c r="G23" s="219"/>
    </row>
    <row r="24" spans="1:7" s="218" customFormat="1" ht="51.75" customHeight="1" x14ac:dyDescent="0.2">
      <c r="A24" s="233"/>
      <c r="B24" s="234"/>
      <c r="C24" s="234"/>
      <c r="D24" s="306"/>
      <c r="E24" s="230"/>
      <c r="F24" s="231"/>
      <c r="G24" s="219"/>
    </row>
    <row r="25" spans="1:7" s="218" customFormat="1" ht="51.75" customHeight="1" x14ac:dyDescent="0.2">
      <c r="A25" s="233"/>
      <c r="B25" s="234">
        <v>2.4</v>
      </c>
      <c r="C25" s="234" t="s">
        <v>133</v>
      </c>
      <c r="D25" s="305"/>
      <c r="E25" s="230"/>
      <c r="F25" s="231" t="s">
        <v>162</v>
      </c>
      <c r="G25" s="219"/>
    </row>
    <row r="26" spans="1:7" s="218" customFormat="1" ht="51.75" customHeight="1" x14ac:dyDescent="0.2">
      <c r="A26" s="233"/>
      <c r="B26" s="234"/>
      <c r="C26" s="234"/>
      <c r="D26" s="306"/>
      <c r="E26" s="230"/>
      <c r="F26" s="231"/>
      <c r="G26" s="219"/>
    </row>
    <row r="27" spans="1:7" s="218" customFormat="1" ht="51.75" customHeight="1" x14ac:dyDescent="0.2">
      <c r="A27" s="233"/>
      <c r="B27" s="234">
        <v>2.5</v>
      </c>
      <c r="C27" s="234" t="s">
        <v>134</v>
      </c>
      <c r="D27" s="305"/>
      <c r="E27" s="230"/>
      <c r="F27" s="231" t="s">
        <v>163</v>
      </c>
      <c r="G27" s="219"/>
    </row>
    <row r="28" spans="1:7" s="218" customFormat="1" ht="51.75" customHeight="1" x14ac:dyDescent="0.2">
      <c r="A28" s="233"/>
      <c r="B28" s="234"/>
      <c r="C28" s="234"/>
      <c r="D28" s="306"/>
      <c r="E28" s="230"/>
      <c r="F28" s="231"/>
      <c r="G28" s="219"/>
    </row>
    <row r="29" spans="1:7" s="218" customFormat="1" ht="51.75" customHeight="1" x14ac:dyDescent="0.2">
      <c r="A29" s="233"/>
      <c r="B29" s="234">
        <v>2.6</v>
      </c>
      <c r="C29" s="234" t="s">
        <v>150</v>
      </c>
      <c r="D29" s="305"/>
      <c r="E29" s="230"/>
      <c r="F29" s="231" t="s">
        <v>135</v>
      </c>
      <c r="G29" s="219"/>
    </row>
    <row r="30" spans="1:7" s="218" customFormat="1" ht="51.75" customHeight="1" x14ac:dyDescent="0.2">
      <c r="A30" s="233"/>
      <c r="B30" s="234"/>
      <c r="C30" s="234"/>
      <c r="D30" s="306"/>
      <c r="E30" s="230"/>
      <c r="F30" s="231"/>
      <c r="G30" s="219"/>
    </row>
    <row r="31" spans="1:7" s="218" customFormat="1" ht="51.75" customHeight="1" x14ac:dyDescent="0.2">
      <c r="A31" s="233"/>
      <c r="B31" s="234">
        <v>2.7</v>
      </c>
      <c r="C31" s="234" t="s">
        <v>168</v>
      </c>
      <c r="D31" s="305"/>
      <c r="E31" s="230"/>
      <c r="F31" s="231" t="s">
        <v>142</v>
      </c>
    </row>
    <row r="32" spans="1:7" s="218" customFormat="1" ht="51.75" customHeight="1" x14ac:dyDescent="0.2">
      <c r="A32" s="233"/>
      <c r="B32" s="234"/>
      <c r="C32" s="234"/>
      <c r="D32" s="306"/>
      <c r="E32" s="230"/>
      <c r="F32" s="231"/>
    </row>
    <row r="33" spans="1:7" s="218" customFormat="1" ht="51.75" customHeight="1" x14ac:dyDescent="0.2">
      <c r="A33" s="233"/>
      <c r="B33" s="234">
        <v>2.8</v>
      </c>
      <c r="C33" s="236" t="s">
        <v>169</v>
      </c>
      <c r="D33" s="305"/>
      <c r="E33" s="230"/>
      <c r="F33" s="231" t="s">
        <v>170</v>
      </c>
      <c r="G33" s="219"/>
    </row>
    <row r="34" spans="1:7" s="218" customFormat="1" ht="51.75" customHeight="1" x14ac:dyDescent="0.2">
      <c r="A34" s="233"/>
      <c r="B34" s="234"/>
      <c r="C34" s="236"/>
      <c r="D34" s="306"/>
      <c r="E34" s="230"/>
      <c r="F34" s="231"/>
      <c r="G34" s="219"/>
    </row>
    <row r="35" spans="1:7" s="218" customFormat="1" ht="9" customHeight="1" x14ac:dyDescent="0.2">
      <c r="A35" s="233"/>
      <c r="B35" s="234"/>
      <c r="C35" s="234"/>
      <c r="D35" s="229"/>
      <c r="E35" s="230"/>
      <c r="F35" s="231"/>
      <c r="G35" s="219"/>
    </row>
    <row r="36" spans="1:7" s="218" customFormat="1" ht="15.75" customHeight="1" x14ac:dyDescent="0.2">
      <c r="A36" s="232" t="s">
        <v>137</v>
      </c>
      <c r="B36" s="234"/>
      <c r="C36" s="234"/>
      <c r="D36" s="229"/>
      <c r="E36" s="230"/>
      <c r="F36" s="231"/>
      <c r="G36" s="219"/>
    </row>
    <row r="37" spans="1:7" s="218" customFormat="1" ht="51.75" customHeight="1" x14ac:dyDescent="0.2">
      <c r="A37" s="233"/>
      <c r="B37" s="234">
        <v>3.1</v>
      </c>
      <c r="C37" s="234" t="s">
        <v>74</v>
      </c>
      <c r="D37" s="305"/>
      <c r="E37" s="230"/>
      <c r="F37" s="231" t="s">
        <v>144</v>
      </c>
      <c r="G37" s="219"/>
    </row>
    <row r="38" spans="1:7" s="218" customFormat="1" ht="51.75" customHeight="1" x14ac:dyDescent="0.2">
      <c r="A38" s="233"/>
      <c r="B38" s="234"/>
      <c r="C38" s="234"/>
      <c r="D38" s="306"/>
      <c r="E38" s="230"/>
      <c r="F38" s="231"/>
      <c r="G38" s="219"/>
    </row>
    <row r="39" spans="1:7" s="218" customFormat="1" ht="51.75" customHeight="1" x14ac:dyDescent="0.2">
      <c r="A39" s="233"/>
      <c r="B39" s="234">
        <v>3.2</v>
      </c>
      <c r="C39" s="234" t="s">
        <v>143</v>
      </c>
      <c r="D39" s="305"/>
      <c r="E39" s="230"/>
      <c r="F39" s="231" t="s">
        <v>149</v>
      </c>
      <c r="G39" s="219"/>
    </row>
    <row r="40" spans="1:7" s="218" customFormat="1" ht="51.75" customHeight="1" x14ac:dyDescent="0.2">
      <c r="A40" s="233"/>
      <c r="B40" s="234"/>
      <c r="C40" s="234"/>
      <c r="D40" s="306"/>
      <c r="E40" s="230"/>
      <c r="F40" s="231"/>
      <c r="G40" s="219"/>
    </row>
    <row r="41" spans="1:7" s="218" customFormat="1" ht="51.75" customHeight="1" x14ac:dyDescent="0.2">
      <c r="A41" s="233"/>
      <c r="B41" s="234">
        <v>3.3</v>
      </c>
      <c r="C41" s="234" t="s">
        <v>145</v>
      </c>
      <c r="D41" s="305"/>
      <c r="E41" s="230"/>
      <c r="F41" s="231" t="s">
        <v>151</v>
      </c>
      <c r="G41" s="219"/>
    </row>
    <row r="42" spans="1:7" s="218" customFormat="1" ht="51.75" customHeight="1" x14ac:dyDescent="0.2">
      <c r="D42" s="306"/>
      <c r="E42" s="219"/>
      <c r="F42" s="220"/>
      <c r="G42" s="219"/>
    </row>
    <row r="43" spans="1:7" s="218" customFormat="1" x14ac:dyDescent="0.2">
      <c r="D43" s="87"/>
      <c r="E43" s="219"/>
      <c r="F43" s="220"/>
      <c r="G43" s="219"/>
    </row>
    <row r="44" spans="1:7" s="218" customFormat="1" x14ac:dyDescent="0.2">
      <c r="D44" s="87"/>
      <c r="E44" s="219"/>
      <c r="F44" s="220"/>
      <c r="G44" s="219"/>
    </row>
    <row r="45" spans="1:7" s="218" customFormat="1" x14ac:dyDescent="0.2">
      <c r="D45" s="87"/>
      <c r="E45" s="219"/>
      <c r="F45" s="220"/>
      <c r="G45" s="219"/>
    </row>
    <row r="46" spans="1:7" s="218" customFormat="1" x14ac:dyDescent="0.2">
      <c r="D46" s="87"/>
      <c r="E46" s="219"/>
      <c r="F46" s="220"/>
      <c r="G46" s="219"/>
    </row>
    <row r="47" spans="1:7" s="218" customFormat="1" x14ac:dyDescent="0.2">
      <c r="D47" s="87"/>
      <c r="E47" s="219"/>
      <c r="F47" s="220"/>
      <c r="G47" s="219"/>
    </row>
    <row r="48" spans="1:7" s="218" customFormat="1" x14ac:dyDescent="0.2">
      <c r="D48" s="87"/>
      <c r="E48" s="219"/>
      <c r="F48" s="220"/>
      <c r="G48" s="219"/>
    </row>
    <row r="49" spans="4:7" s="218" customFormat="1" x14ac:dyDescent="0.2">
      <c r="D49" s="87"/>
      <c r="E49" s="219"/>
      <c r="F49" s="220"/>
      <c r="G49" s="219"/>
    </row>
    <row r="50" spans="4:7" s="218" customFormat="1" x14ac:dyDescent="0.2">
      <c r="D50" s="87"/>
      <c r="E50" s="219"/>
      <c r="F50" s="220"/>
      <c r="G50" s="219"/>
    </row>
    <row r="51" spans="4:7" s="218" customFormat="1" x14ac:dyDescent="0.2">
      <c r="D51" s="87"/>
      <c r="E51" s="219"/>
      <c r="F51" s="220"/>
      <c r="G51" s="219"/>
    </row>
    <row r="52" spans="4:7" s="218" customFormat="1" x14ac:dyDescent="0.2">
      <c r="D52" s="87"/>
      <c r="E52" s="219"/>
      <c r="F52" s="220"/>
      <c r="G52" s="219"/>
    </row>
    <row r="53" spans="4:7" s="218" customFormat="1" x14ac:dyDescent="0.2">
      <c r="D53" s="87"/>
      <c r="E53" s="219"/>
      <c r="F53" s="220"/>
      <c r="G53" s="219"/>
    </row>
    <row r="54" spans="4:7" s="218" customFormat="1" x14ac:dyDescent="0.2">
      <c r="D54" s="87"/>
      <c r="E54" s="219"/>
      <c r="F54" s="220"/>
      <c r="G54" s="219"/>
    </row>
    <row r="55" spans="4:7" s="218" customFormat="1" x14ac:dyDescent="0.2">
      <c r="D55" s="87"/>
      <c r="E55" s="219"/>
      <c r="F55" s="220"/>
      <c r="G55" s="219"/>
    </row>
    <row r="56" spans="4:7" s="218" customFormat="1" x14ac:dyDescent="0.2">
      <c r="D56" s="87"/>
      <c r="E56" s="219"/>
      <c r="F56" s="220"/>
      <c r="G56" s="219"/>
    </row>
    <row r="57" spans="4:7" s="218" customFormat="1" x14ac:dyDescent="0.2">
      <c r="D57" s="87"/>
      <c r="E57" s="219"/>
      <c r="F57" s="220"/>
      <c r="G57" s="219"/>
    </row>
    <row r="58" spans="4:7" s="218" customFormat="1" x14ac:dyDescent="0.2">
      <c r="D58" s="87"/>
      <c r="E58" s="219"/>
      <c r="F58" s="220"/>
      <c r="G58" s="219"/>
    </row>
    <row r="59" spans="4:7" s="218" customFormat="1" x14ac:dyDescent="0.2">
      <c r="D59" s="87"/>
      <c r="E59" s="219"/>
      <c r="F59" s="220"/>
      <c r="G59" s="219"/>
    </row>
    <row r="60" spans="4:7" s="218" customFormat="1" x14ac:dyDescent="0.2">
      <c r="D60" s="87"/>
      <c r="E60" s="219"/>
      <c r="F60" s="220"/>
      <c r="G60" s="219"/>
    </row>
    <row r="61" spans="4:7" s="218" customFormat="1" x14ac:dyDescent="0.2">
      <c r="D61" s="87"/>
      <c r="E61" s="219"/>
      <c r="F61" s="220"/>
      <c r="G61" s="219"/>
    </row>
    <row r="62" spans="4:7" s="218" customFormat="1" x14ac:dyDescent="0.2">
      <c r="D62" s="87"/>
      <c r="E62" s="219"/>
      <c r="F62" s="220"/>
      <c r="G62" s="219"/>
    </row>
    <row r="63" spans="4:7" s="218" customFormat="1" x14ac:dyDescent="0.2">
      <c r="D63" s="87"/>
      <c r="E63" s="219"/>
      <c r="F63" s="220"/>
      <c r="G63" s="219"/>
    </row>
    <row r="64" spans="4:7" s="218" customFormat="1" x14ac:dyDescent="0.2">
      <c r="D64" s="87"/>
      <c r="E64" s="219"/>
      <c r="F64" s="220"/>
      <c r="G64" s="219"/>
    </row>
    <row r="65" spans="4:7" s="218" customFormat="1" x14ac:dyDescent="0.2">
      <c r="D65" s="87"/>
      <c r="E65" s="219"/>
      <c r="F65" s="220"/>
      <c r="G65" s="219"/>
    </row>
    <row r="66" spans="4:7" s="218" customFormat="1" x14ac:dyDescent="0.2">
      <c r="D66" s="87"/>
      <c r="E66" s="219"/>
      <c r="F66" s="220"/>
      <c r="G66" s="219"/>
    </row>
    <row r="67" spans="4:7" s="218" customFormat="1" x14ac:dyDescent="0.2">
      <c r="D67" s="87"/>
      <c r="E67" s="219"/>
      <c r="F67" s="220"/>
      <c r="G67" s="219"/>
    </row>
    <row r="68" spans="4:7" s="218" customFormat="1" x14ac:dyDescent="0.2">
      <c r="D68" s="87"/>
      <c r="E68" s="219"/>
      <c r="F68" s="220"/>
      <c r="G68" s="219"/>
    </row>
    <row r="69" spans="4:7" s="218" customFormat="1" x14ac:dyDescent="0.2">
      <c r="D69" s="87"/>
      <c r="E69" s="219"/>
      <c r="F69" s="220"/>
      <c r="G69" s="219"/>
    </row>
    <row r="70" spans="4:7" s="218" customFormat="1" x14ac:dyDescent="0.2">
      <c r="D70" s="87"/>
      <c r="E70" s="219"/>
      <c r="F70" s="220"/>
      <c r="G70" s="219"/>
    </row>
    <row r="71" spans="4:7" s="218" customFormat="1" x14ac:dyDescent="0.2">
      <c r="D71" s="87"/>
      <c r="E71" s="219"/>
      <c r="F71" s="220"/>
      <c r="G71" s="219"/>
    </row>
    <row r="72" spans="4:7" s="218" customFormat="1" x14ac:dyDescent="0.2">
      <c r="D72" s="87"/>
      <c r="E72" s="219"/>
      <c r="F72" s="220"/>
      <c r="G72" s="219"/>
    </row>
    <row r="73" spans="4:7" s="218" customFormat="1" x14ac:dyDescent="0.2">
      <c r="D73" s="87"/>
      <c r="E73" s="219"/>
      <c r="F73" s="220"/>
      <c r="G73" s="219"/>
    </row>
    <row r="74" spans="4:7" s="218" customFormat="1" x14ac:dyDescent="0.2">
      <c r="D74" s="87"/>
      <c r="E74" s="219"/>
      <c r="F74" s="220"/>
      <c r="G74" s="219"/>
    </row>
    <row r="75" spans="4:7" s="218" customFormat="1" x14ac:dyDescent="0.2">
      <c r="D75" s="87"/>
      <c r="E75" s="219"/>
      <c r="F75" s="220"/>
      <c r="G75" s="219"/>
    </row>
    <row r="76" spans="4:7" s="218" customFormat="1" x14ac:dyDescent="0.2">
      <c r="D76" s="87"/>
      <c r="E76" s="219"/>
      <c r="F76" s="220"/>
      <c r="G76" s="219"/>
    </row>
    <row r="77" spans="4:7" s="218" customFormat="1" x14ac:dyDescent="0.2">
      <c r="D77" s="87"/>
      <c r="E77" s="219"/>
      <c r="F77" s="220"/>
      <c r="G77" s="219"/>
    </row>
    <row r="78" spans="4:7" s="218" customFormat="1" x14ac:dyDescent="0.2">
      <c r="D78" s="87"/>
      <c r="E78" s="219"/>
      <c r="F78" s="220"/>
      <c r="G78" s="219"/>
    </row>
    <row r="79" spans="4:7" s="218" customFormat="1" x14ac:dyDescent="0.2">
      <c r="D79" s="87"/>
      <c r="E79" s="219"/>
      <c r="F79" s="220"/>
      <c r="G79" s="219"/>
    </row>
    <row r="80" spans="4:7" s="218" customFormat="1" x14ac:dyDescent="0.2">
      <c r="D80" s="87"/>
      <c r="E80" s="219"/>
      <c r="F80" s="220"/>
      <c r="G80" s="219"/>
    </row>
  </sheetData>
  <sheetProtection sheet="1" objects="1" scenarios="1" selectLockedCells="1"/>
  <mergeCells count="12">
    <mergeCell ref="F5:F16"/>
    <mergeCell ref="D19:D20"/>
    <mergeCell ref="D21:D22"/>
    <mergeCell ref="D37:D38"/>
    <mergeCell ref="D39:D40"/>
    <mergeCell ref="D41:D42"/>
    <mergeCell ref="D23:D24"/>
    <mergeCell ref="D25:D26"/>
    <mergeCell ref="D33:D34"/>
    <mergeCell ref="D31:D32"/>
    <mergeCell ref="D27:D28"/>
    <mergeCell ref="D29:D30"/>
  </mergeCells>
  <phoneticPr fontId="2" type="noConversion"/>
  <pageMargins left="0.75" right="0.4" top="0.5" bottom="0.49" header="0.44" footer="0.3"/>
  <pageSetup paperSize="9" scale="5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2:R31"/>
  <sheetViews>
    <sheetView workbookViewId="0">
      <selection activeCell="Q32" sqref="Q32"/>
    </sheetView>
  </sheetViews>
  <sheetFormatPr defaultRowHeight="12.75" x14ac:dyDescent="0.2"/>
  <cols>
    <col min="2" max="16" width="10.5703125" customWidth="1"/>
  </cols>
  <sheetData>
    <row r="2" spans="1:18" ht="13.5" thickBot="1" x14ac:dyDescent="0.25">
      <c r="Q2" s="254" t="s">
        <v>245</v>
      </c>
    </row>
    <row r="3" spans="1:18" ht="13.5" thickBot="1" x14ac:dyDescent="0.25">
      <c r="M3" s="269" t="s">
        <v>203</v>
      </c>
      <c r="N3" s="270"/>
      <c r="O3" s="294">
        <v>63000</v>
      </c>
      <c r="P3" t="s">
        <v>204</v>
      </c>
      <c r="Q3" s="254" t="s">
        <v>242</v>
      </c>
    </row>
    <row r="4" spans="1:18" ht="13.5" thickBot="1" x14ac:dyDescent="0.25">
      <c r="B4" s="271"/>
      <c r="M4" s="269" t="s">
        <v>205</v>
      </c>
      <c r="N4" s="270"/>
      <c r="O4" s="295">
        <v>3.1691594739974516E-2</v>
      </c>
      <c r="Q4" s="254" t="s">
        <v>243</v>
      </c>
    </row>
    <row r="5" spans="1:18" ht="13.5" thickBot="1" x14ac:dyDescent="0.25">
      <c r="D5" s="310" t="s">
        <v>229</v>
      </c>
      <c r="E5" s="310"/>
      <c r="F5" s="310"/>
      <c r="G5" s="310"/>
      <c r="H5" s="310"/>
      <c r="I5" s="310"/>
      <c r="J5" s="310"/>
      <c r="M5" s="269" t="s">
        <v>206</v>
      </c>
      <c r="N5" s="270"/>
      <c r="O5" s="295">
        <v>0.15</v>
      </c>
      <c r="Q5" s="254" t="s">
        <v>244</v>
      </c>
    </row>
    <row r="6" spans="1:18" x14ac:dyDescent="0.2">
      <c r="M6" s="148"/>
      <c r="N6" s="148"/>
      <c r="O6" s="293"/>
    </row>
    <row r="7" spans="1:18" x14ac:dyDescent="0.2">
      <c r="A7" t="s">
        <v>30</v>
      </c>
      <c r="B7">
        <v>1</v>
      </c>
      <c r="C7">
        <v>2</v>
      </c>
      <c r="D7">
        <v>3</v>
      </c>
      <c r="E7">
        <v>4</v>
      </c>
      <c r="F7">
        <v>5</v>
      </c>
      <c r="G7">
        <v>6</v>
      </c>
      <c r="H7">
        <v>7</v>
      </c>
      <c r="I7">
        <v>8</v>
      </c>
      <c r="J7">
        <v>9</v>
      </c>
      <c r="K7">
        <v>10</v>
      </c>
      <c r="L7">
        <v>11</v>
      </c>
      <c r="M7">
        <v>12</v>
      </c>
      <c r="N7">
        <v>13</v>
      </c>
      <c r="O7">
        <v>14</v>
      </c>
      <c r="P7">
        <v>15</v>
      </c>
      <c r="R7" s="271"/>
    </row>
    <row r="9" spans="1:18" x14ac:dyDescent="0.2">
      <c r="A9" s="272" t="s">
        <v>207</v>
      </c>
      <c r="B9" s="283">
        <f>O3</f>
        <v>63000</v>
      </c>
      <c r="C9" s="283">
        <f t="shared" ref="C9:P9" si="0">(B9*$O$4)+B9</f>
        <v>64996.570468618396</v>
      </c>
      <c r="D9" s="283">
        <f t="shared" si="0"/>
        <v>67056.415439398043</v>
      </c>
      <c r="E9" s="283">
        <f t="shared" si="0"/>
        <v>69181.540182218814</v>
      </c>
      <c r="F9" s="283">
        <f t="shared" si="0"/>
        <v>71374.013517160958</v>
      </c>
      <c r="G9" s="283">
        <f t="shared" si="0"/>
        <v>73635.969828512287</v>
      </c>
      <c r="H9" s="283">
        <f t="shared" si="0"/>
        <v>75969.611142602487</v>
      </c>
      <c r="I9" s="283">
        <f t="shared" si="0"/>
        <v>78377.2092714873</v>
      </c>
      <c r="J9" s="283">
        <f t="shared" si="0"/>
        <v>80861.108024569447</v>
      </c>
      <c r="K9" s="283">
        <f t="shared" si="0"/>
        <v>83423.7254903094</v>
      </c>
      <c r="L9" s="283">
        <f t="shared" si="0"/>
        <v>86067.556390247162</v>
      </c>
      <c r="M9" s="283">
        <f t="shared" si="0"/>
        <v>88795.174507626783</v>
      </c>
      <c r="N9" s="283">
        <f t="shared" si="0"/>
        <v>91609.235192987806</v>
      </c>
      <c r="O9" s="283">
        <f t="shared" si="0"/>
        <v>94512.477949162989</v>
      </c>
      <c r="P9" s="283">
        <f t="shared" si="0"/>
        <v>97507.729098198644</v>
      </c>
    </row>
    <row r="10" spans="1:18" x14ac:dyDescent="0.2">
      <c r="A10" s="97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R10" s="271"/>
    </row>
    <row r="11" spans="1:18" x14ac:dyDescent="0.2">
      <c r="A11" s="97"/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</row>
    <row r="12" spans="1:18" x14ac:dyDescent="0.2">
      <c r="A12" s="273" t="s">
        <v>208</v>
      </c>
      <c r="B12" s="273"/>
      <c r="C12" s="273"/>
      <c r="D12" s="273"/>
      <c r="E12" s="273"/>
      <c r="F12" s="273"/>
      <c r="G12" s="309" t="s">
        <v>209</v>
      </c>
      <c r="H12" s="309"/>
      <c r="I12" s="309"/>
      <c r="J12" s="309"/>
      <c r="K12" s="309"/>
      <c r="L12" s="309"/>
      <c r="M12" s="309"/>
      <c r="N12" s="309"/>
      <c r="O12" s="309"/>
      <c r="P12" s="309"/>
      <c r="R12" s="271"/>
    </row>
    <row r="13" spans="1:18" x14ac:dyDescent="0.2">
      <c r="A13" s="271" t="s">
        <v>210</v>
      </c>
      <c r="B13" s="274">
        <f>O5</f>
        <v>0.15</v>
      </c>
      <c r="C13" s="274">
        <f>B13*(100%-$D$15)</f>
        <v>0.12</v>
      </c>
      <c r="D13" s="274">
        <f t="shared" ref="D13:P13" si="1">C13*(100%-$D$15)</f>
        <v>9.6000000000000002E-2</v>
      </c>
      <c r="E13" s="274">
        <f t="shared" si="1"/>
        <v>7.6800000000000007E-2</v>
      </c>
      <c r="F13" s="274">
        <f t="shared" si="1"/>
        <v>6.1440000000000008E-2</v>
      </c>
      <c r="G13" s="274">
        <f t="shared" si="1"/>
        <v>4.9152000000000008E-2</v>
      </c>
      <c r="H13" s="274">
        <f t="shared" si="1"/>
        <v>3.9321600000000012E-2</v>
      </c>
      <c r="I13" s="274">
        <f t="shared" si="1"/>
        <v>3.1457280000000011E-2</v>
      </c>
      <c r="J13" s="274">
        <f t="shared" si="1"/>
        <v>2.516582400000001E-2</v>
      </c>
      <c r="K13" s="274">
        <f t="shared" si="1"/>
        <v>2.013265920000001E-2</v>
      </c>
      <c r="L13" s="274">
        <f t="shared" si="1"/>
        <v>1.610612736000001E-2</v>
      </c>
      <c r="M13" s="274">
        <f t="shared" si="1"/>
        <v>1.2884901888000009E-2</v>
      </c>
      <c r="N13" s="274">
        <f t="shared" si="1"/>
        <v>1.0307921510400008E-2</v>
      </c>
      <c r="O13" s="274">
        <f t="shared" si="1"/>
        <v>8.2463372083200065E-3</v>
      </c>
      <c r="P13" s="274">
        <f t="shared" si="1"/>
        <v>6.5970697666560057E-3</v>
      </c>
    </row>
    <row r="14" spans="1:18" x14ac:dyDescent="0.2">
      <c r="A14" s="271" t="s">
        <v>211</v>
      </c>
      <c r="B14" s="275">
        <f t="shared" ref="B14:P14" si="2">B9*B13</f>
        <v>9450</v>
      </c>
      <c r="C14" s="275">
        <f t="shared" si="2"/>
        <v>7799.5884562342071</v>
      </c>
      <c r="D14" s="275">
        <f t="shared" si="2"/>
        <v>6437.415882182212</v>
      </c>
      <c r="E14" s="275">
        <f t="shared" si="2"/>
        <v>5313.142285994405</v>
      </c>
      <c r="F14" s="275">
        <f t="shared" si="2"/>
        <v>4385.2193904943697</v>
      </c>
      <c r="G14" s="275">
        <f t="shared" si="2"/>
        <v>3619.3551890110366</v>
      </c>
      <c r="H14" s="275">
        <f t="shared" si="2"/>
        <v>2987.2466615049589</v>
      </c>
      <c r="I14" s="275">
        <f t="shared" si="2"/>
        <v>2465.5338176717728</v>
      </c>
      <c r="J14" s="275">
        <f t="shared" si="2"/>
        <v>2034.9364129913031</v>
      </c>
      <c r="K14" s="275">
        <f t="shared" si="2"/>
        <v>1679.5414344907529</v>
      </c>
      <c r="L14" s="275">
        <f t="shared" si="2"/>
        <v>1386.2150247853035</v>
      </c>
      <c r="M14" s="275">
        <f t="shared" si="2"/>
        <v>1144.1171116586106</v>
      </c>
      <c r="N14" s="275">
        <f t="shared" si="2"/>
        <v>944.30080599709243</v>
      </c>
      <c r="O14" s="275">
        <f t="shared" si="2"/>
        <v>779.38176356270685</v>
      </c>
      <c r="P14" s="275">
        <f t="shared" si="2"/>
        <v>643.26529164901035</v>
      </c>
    </row>
    <row r="15" spans="1:18" s="254" customFormat="1" x14ac:dyDescent="0.2">
      <c r="A15" s="271"/>
      <c r="B15" s="284" t="s">
        <v>222</v>
      </c>
      <c r="C15" s="284"/>
      <c r="D15" s="289">
        <v>0.2</v>
      </c>
      <c r="E15" s="284" t="s">
        <v>223</v>
      </c>
      <c r="F15" s="311" t="s">
        <v>230</v>
      </c>
      <c r="G15" s="311"/>
      <c r="H15" s="311"/>
      <c r="I15" s="311"/>
      <c r="J15" s="311"/>
      <c r="K15" s="311"/>
      <c r="L15" s="271"/>
      <c r="M15" s="271"/>
      <c r="N15" s="271"/>
      <c r="O15" s="271"/>
      <c r="P15" s="271"/>
    </row>
    <row r="16" spans="1:18" x14ac:dyDescent="0.2">
      <c r="A16" s="276"/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R16" s="271"/>
    </row>
    <row r="17" spans="1:18" x14ac:dyDescent="0.2">
      <c r="A17" s="276"/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</row>
    <row r="18" spans="1:18" x14ac:dyDescent="0.2"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8"/>
      <c r="M18" s="278"/>
      <c r="N18" s="278"/>
      <c r="O18" s="278"/>
      <c r="P18" s="278"/>
    </row>
    <row r="19" spans="1:18" x14ac:dyDescent="0.2">
      <c r="A19" s="273" t="s">
        <v>212</v>
      </c>
      <c r="B19" s="279"/>
      <c r="C19" s="279"/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  <c r="P19" s="279"/>
      <c r="R19" s="271"/>
    </row>
    <row r="20" spans="1:18" x14ac:dyDescent="0.2">
      <c r="A20" s="271" t="s">
        <v>210</v>
      </c>
      <c r="B20" s="274">
        <f>O5</f>
        <v>0.15</v>
      </c>
      <c r="C20" s="280">
        <f>B20*(100%+$D$22)</f>
        <v>0.1545</v>
      </c>
      <c r="D20" s="280">
        <f t="shared" ref="D20:P20" si="3">C20*(100%+$D$22)</f>
        <v>0.159135</v>
      </c>
      <c r="E20" s="280">
        <f t="shared" si="3"/>
        <v>0.16390905</v>
      </c>
      <c r="F20" s="280">
        <f t="shared" si="3"/>
        <v>0.16882632150000002</v>
      </c>
      <c r="G20" s="280">
        <f t="shared" si="3"/>
        <v>0.17389111114500003</v>
      </c>
      <c r="H20" s="280">
        <f t="shared" si="3"/>
        <v>0.17910784447935002</v>
      </c>
      <c r="I20" s="280">
        <f t="shared" si="3"/>
        <v>0.18448107981373052</v>
      </c>
      <c r="J20" s="280">
        <f t="shared" si="3"/>
        <v>0.19001551220814245</v>
      </c>
      <c r="K20" s="280">
        <f t="shared" si="3"/>
        <v>0.19571597757438672</v>
      </c>
      <c r="L20" s="280">
        <f t="shared" si="3"/>
        <v>0.20158745690161833</v>
      </c>
      <c r="M20" s="280">
        <f t="shared" si="3"/>
        <v>0.20763508060866689</v>
      </c>
      <c r="N20" s="280">
        <f t="shared" si="3"/>
        <v>0.21386413302692692</v>
      </c>
      <c r="O20" s="280">
        <f t="shared" si="3"/>
        <v>0.22028005701773473</v>
      </c>
      <c r="P20" s="280">
        <f t="shared" si="3"/>
        <v>0.22688845872826677</v>
      </c>
    </row>
    <row r="21" spans="1:18" x14ac:dyDescent="0.2">
      <c r="A21" s="271" t="s">
        <v>211</v>
      </c>
      <c r="B21" s="281">
        <f t="shared" ref="B21:P21" si="4">B20*B9</f>
        <v>9450</v>
      </c>
      <c r="C21" s="281">
        <f t="shared" si="4"/>
        <v>10041.970137401542</v>
      </c>
      <c r="D21" s="281">
        <f t="shared" si="4"/>
        <v>10671.022670948607</v>
      </c>
      <c r="E21" s="281">
        <f t="shared" si="4"/>
        <v>11339.480528804314</v>
      </c>
      <c r="F21" s="281">
        <f t="shared" si="4"/>
        <v>12049.812152793564</v>
      </c>
      <c r="G21" s="281">
        <f t="shared" si="4"/>
        <v>12804.640613719699</v>
      </c>
      <c r="H21" s="281">
        <f t="shared" si="4"/>
        <v>13606.753297685942</v>
      </c>
      <c r="I21" s="281">
        <f t="shared" si="4"/>
        <v>14459.112199190708</v>
      </c>
      <c r="J21" s="281">
        <f t="shared" si="4"/>
        <v>15364.8648590065</v>
      </c>
      <c r="K21" s="281">
        <f t="shared" si="4"/>
        <v>16327.355987233188</v>
      </c>
      <c r="L21" s="281">
        <f t="shared" si="4"/>
        <v>17350.139814446557</v>
      </c>
      <c r="M21" s="281">
        <f t="shared" si="4"/>
        <v>18436.993216551731</v>
      </c>
      <c r="N21" s="281">
        <f t="shared" si="4"/>
        <v>19591.929661808179</v>
      </c>
      <c r="O21" s="281">
        <f t="shared" si="4"/>
        <v>20819.21403152902</v>
      </c>
      <c r="P21" s="281">
        <f t="shared" si="4"/>
        <v>22123.378369183658</v>
      </c>
      <c r="R21" s="271"/>
    </row>
    <row r="22" spans="1:18" s="254" customFormat="1" x14ac:dyDescent="0.2">
      <c r="A22" s="285"/>
      <c r="B22" s="286" t="s">
        <v>224</v>
      </c>
      <c r="C22" s="286"/>
      <c r="D22" s="290">
        <v>0.03</v>
      </c>
      <c r="E22" s="286" t="s">
        <v>223</v>
      </c>
      <c r="F22" s="312" t="s">
        <v>231</v>
      </c>
      <c r="G22" s="312"/>
      <c r="H22" s="312"/>
      <c r="I22" s="312"/>
      <c r="J22" s="312"/>
      <c r="K22" s="312"/>
      <c r="L22" s="286"/>
      <c r="M22" s="286"/>
      <c r="N22" s="286"/>
      <c r="O22" s="286"/>
      <c r="P22" s="286"/>
      <c r="R22" s="271"/>
    </row>
    <row r="23" spans="1:18" ht="13.5" thickBot="1" x14ac:dyDescent="0.25"/>
    <row r="24" spans="1:18" ht="13.5" thickBot="1" x14ac:dyDescent="0.25">
      <c r="M24" s="269" t="s">
        <v>213</v>
      </c>
      <c r="N24" s="270"/>
      <c r="O24" s="294">
        <v>2069</v>
      </c>
      <c r="P24" t="s">
        <v>204</v>
      </c>
      <c r="Q24" s="254" t="s">
        <v>246</v>
      </c>
    </row>
    <row r="26" spans="1:18" x14ac:dyDescent="0.2">
      <c r="A26" s="279" t="s">
        <v>214</v>
      </c>
      <c r="B26" s="279"/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N26" s="279"/>
      <c r="O26" s="279"/>
      <c r="P26" s="279"/>
    </row>
    <row r="28" spans="1:18" x14ac:dyDescent="0.2">
      <c r="B28" s="282">
        <f>O24</f>
        <v>2069</v>
      </c>
      <c r="C28" s="282">
        <f>B28*1.03</f>
        <v>2131.0700000000002</v>
      </c>
      <c r="D28" s="282">
        <f t="shared" ref="D28:P28" si="5">C28*1.03</f>
        <v>2195.0021000000002</v>
      </c>
      <c r="E28" s="282">
        <f t="shared" si="5"/>
        <v>2260.852163</v>
      </c>
      <c r="F28" s="282">
        <f t="shared" si="5"/>
        <v>2328.6777278899999</v>
      </c>
      <c r="G28" s="282">
        <f t="shared" si="5"/>
        <v>2398.5380597266999</v>
      </c>
      <c r="H28" s="282">
        <f t="shared" si="5"/>
        <v>2470.4942015185011</v>
      </c>
      <c r="I28" s="282">
        <f t="shared" si="5"/>
        <v>2544.6090275640563</v>
      </c>
      <c r="J28" s="282">
        <f t="shared" si="5"/>
        <v>2620.9472983909782</v>
      </c>
      <c r="K28" s="282">
        <f t="shared" si="5"/>
        <v>2699.5757173427078</v>
      </c>
      <c r="L28" s="282">
        <f t="shared" si="5"/>
        <v>2780.5629888629892</v>
      </c>
      <c r="M28" s="282">
        <f t="shared" si="5"/>
        <v>2863.979878528879</v>
      </c>
      <c r="N28" s="282">
        <f t="shared" si="5"/>
        <v>2949.8992748847454</v>
      </c>
      <c r="O28" s="282">
        <f t="shared" si="5"/>
        <v>3038.3962531312877</v>
      </c>
      <c r="P28" s="282">
        <f t="shared" si="5"/>
        <v>3129.5481407252264</v>
      </c>
    </row>
    <row r="30" spans="1:18" ht="13.5" thickBot="1" x14ac:dyDescent="0.25"/>
    <row r="31" spans="1:18" ht="13.5" thickBot="1" x14ac:dyDescent="0.25">
      <c r="M31" s="269" t="s">
        <v>74</v>
      </c>
      <c r="N31" s="270"/>
      <c r="O31" s="295">
        <v>0.88</v>
      </c>
      <c r="Q31" s="254" t="s">
        <v>247</v>
      </c>
    </row>
  </sheetData>
  <mergeCells count="4">
    <mergeCell ref="G12:P12"/>
    <mergeCell ref="D5:J5"/>
    <mergeCell ref="F15:K15"/>
    <mergeCell ref="F22:K2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44"/>
  <sheetViews>
    <sheetView zoomScale="70" zoomScaleNormal="70" workbookViewId="0">
      <selection activeCell="AE32" sqref="AE32"/>
    </sheetView>
  </sheetViews>
  <sheetFormatPr defaultRowHeight="12.75" outlineLevelRow="1" x14ac:dyDescent="0.2"/>
  <cols>
    <col min="1" max="2" width="1.140625" customWidth="1"/>
    <col min="3" max="3" width="1.5703125" customWidth="1"/>
    <col min="4" max="4" width="42.28515625" customWidth="1"/>
    <col min="5" max="5" width="9.7109375" style="4" customWidth="1"/>
    <col min="6" max="6" width="13" style="4" customWidth="1"/>
    <col min="7" max="7" width="2.28515625" style="99" customWidth="1"/>
    <col min="9" max="9" width="2.28515625" style="99" customWidth="1"/>
    <col min="10" max="16" width="12" customWidth="1"/>
    <col min="17" max="24" width="11.42578125" customWidth="1"/>
    <col min="25" max="25" width="1.7109375" customWidth="1"/>
  </cols>
  <sheetData>
    <row r="1" spans="1:27" ht="15.75" x14ac:dyDescent="0.25">
      <c r="A1" s="30" t="s">
        <v>13</v>
      </c>
      <c r="D1" s="8"/>
      <c r="E1" s="10"/>
      <c r="F1" s="10"/>
      <c r="G1" s="81"/>
      <c r="H1" s="8"/>
      <c r="I1" s="81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7" ht="13.5" thickBot="1" x14ac:dyDescent="0.25">
      <c r="A2" s="29"/>
      <c r="B2" s="29"/>
      <c r="C2" s="107"/>
      <c r="D2" s="88" t="s">
        <v>58</v>
      </c>
      <c r="E2" s="10"/>
      <c r="F2" s="10"/>
      <c r="G2" s="81"/>
      <c r="H2" s="19">
        <v>1</v>
      </c>
      <c r="I2" s="81"/>
      <c r="J2" s="19">
        <v>1</v>
      </c>
      <c r="K2" s="19">
        <v>2</v>
      </c>
      <c r="L2" s="19">
        <v>3</v>
      </c>
      <c r="M2" s="19">
        <v>4</v>
      </c>
      <c r="N2" s="19">
        <v>5</v>
      </c>
      <c r="O2" s="19"/>
      <c r="P2" s="19"/>
      <c r="Q2" s="19"/>
      <c r="R2" s="19"/>
      <c r="S2" s="19"/>
      <c r="T2" s="19">
        <v>6</v>
      </c>
      <c r="U2" s="19">
        <v>7</v>
      </c>
      <c r="V2" s="19">
        <v>8</v>
      </c>
      <c r="W2" s="19">
        <v>9</v>
      </c>
      <c r="X2" s="19">
        <v>10</v>
      </c>
      <c r="Y2" s="8"/>
    </row>
    <row r="3" spans="1:27" s="2" customFormat="1" ht="28.5" customHeight="1" thickBot="1" x14ac:dyDescent="0.25">
      <c r="A3" s="46"/>
      <c r="B3" s="46"/>
      <c r="C3" s="89" t="s">
        <v>1</v>
      </c>
      <c r="D3" s="90"/>
      <c r="E3" s="91" t="s">
        <v>118</v>
      </c>
      <c r="F3" s="47"/>
      <c r="G3" s="101"/>
      <c r="H3" s="156"/>
      <c r="I3" s="101"/>
      <c r="J3" s="48">
        <v>1</v>
      </c>
      <c r="K3" s="48">
        <v>2</v>
      </c>
      <c r="L3" s="48">
        <v>3</v>
      </c>
      <c r="M3" s="48">
        <v>4</v>
      </c>
      <c r="N3" s="48">
        <v>5</v>
      </c>
      <c r="O3" s="48">
        <v>6</v>
      </c>
      <c r="P3" s="48">
        <v>7</v>
      </c>
      <c r="Q3" s="48">
        <v>8</v>
      </c>
      <c r="R3" s="48">
        <v>9</v>
      </c>
      <c r="S3" s="48">
        <v>10</v>
      </c>
      <c r="T3" s="48">
        <v>11</v>
      </c>
      <c r="U3" s="48">
        <v>12</v>
      </c>
      <c r="V3" s="48">
        <v>13</v>
      </c>
      <c r="W3" s="48">
        <v>14</v>
      </c>
      <c r="X3" s="48">
        <v>15</v>
      </c>
      <c r="Y3" s="49"/>
    </row>
    <row r="4" spans="1:27" x14ac:dyDescent="0.2">
      <c r="A4" s="29"/>
      <c r="B4" s="29"/>
      <c r="C4" s="31"/>
      <c r="D4" s="8"/>
      <c r="E4" s="10"/>
      <c r="F4" s="10"/>
      <c r="G4" s="81"/>
      <c r="H4" s="20">
        <v>0</v>
      </c>
      <c r="I4" s="81"/>
      <c r="J4" s="20">
        <v>1</v>
      </c>
      <c r="K4" s="20">
        <v>2</v>
      </c>
      <c r="L4" s="20">
        <v>3</v>
      </c>
      <c r="M4" s="20">
        <v>4</v>
      </c>
      <c r="N4" s="20">
        <v>5</v>
      </c>
      <c r="O4" s="20">
        <v>5</v>
      </c>
      <c r="P4" s="20">
        <v>5</v>
      </c>
      <c r="Q4" s="20">
        <v>5</v>
      </c>
      <c r="R4" s="20">
        <v>5</v>
      </c>
      <c r="S4" s="20">
        <v>5</v>
      </c>
      <c r="T4" s="20">
        <v>11</v>
      </c>
      <c r="U4" s="20">
        <v>12</v>
      </c>
      <c r="V4" s="20">
        <v>13</v>
      </c>
      <c r="W4" s="20">
        <v>14</v>
      </c>
      <c r="X4" s="20">
        <v>15</v>
      </c>
      <c r="Y4" s="8"/>
      <c r="AA4" s="97"/>
    </row>
    <row r="5" spans="1:27" ht="13.5" thickBot="1" x14ac:dyDescent="0.25">
      <c r="A5" s="34"/>
      <c r="B5" s="33"/>
      <c r="C5" s="32" t="s">
        <v>17</v>
      </c>
      <c r="D5" s="8"/>
      <c r="E5" s="10"/>
      <c r="F5" s="10"/>
      <c r="G5" s="81"/>
      <c r="H5" s="20"/>
      <c r="I5" s="81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8"/>
    </row>
    <row r="6" spans="1:27" ht="15.75" thickBot="1" x14ac:dyDescent="0.3">
      <c r="A6" s="34"/>
      <c r="B6" s="33"/>
      <c r="C6" s="313"/>
      <c r="D6" s="18" t="s">
        <v>62</v>
      </c>
      <c r="E6" s="7" t="s">
        <v>18</v>
      </c>
      <c r="F6" s="291"/>
      <c r="G6" s="102"/>
      <c r="H6" s="155"/>
      <c r="I6" s="102"/>
      <c r="J6" s="36">
        <f>VALUE('Input Breeder'!B21)</f>
        <v>9450</v>
      </c>
      <c r="K6" s="36">
        <f>VALUE('Input Breeder'!C21)</f>
        <v>10041.970137401542</v>
      </c>
      <c r="L6" s="36">
        <f>VALUE('Input Breeder'!D21)</f>
        <v>10671.022670948607</v>
      </c>
      <c r="M6" s="36">
        <f>VALUE('Input Breeder'!E21)</f>
        <v>11339.480528804314</v>
      </c>
      <c r="N6" s="36">
        <f>VALUE('Input Breeder'!F21)</f>
        <v>12049.812152793564</v>
      </c>
      <c r="O6" s="36">
        <f>VALUE('Input Breeder'!G21)</f>
        <v>12804.640613719699</v>
      </c>
      <c r="P6" s="36">
        <f>VALUE('Input Breeder'!H21)</f>
        <v>13606.753297685942</v>
      </c>
      <c r="Q6" s="36">
        <f>VALUE('Input Breeder'!I21)</f>
        <v>14459.112199190708</v>
      </c>
      <c r="R6" s="36">
        <f>VALUE('Input Breeder'!J21)</f>
        <v>15364.8648590065</v>
      </c>
      <c r="S6" s="36">
        <f>VALUE('Input Breeder'!K21)</f>
        <v>16327.355987233188</v>
      </c>
      <c r="T6" s="36">
        <f>VALUE('Input Breeder'!L21)</f>
        <v>17350.139814446557</v>
      </c>
      <c r="U6" s="36">
        <f>VALUE('Input Breeder'!M21)</f>
        <v>18436.993216551731</v>
      </c>
      <c r="V6" s="36">
        <f>VALUE('Input Breeder'!N21)</f>
        <v>19591.929661808179</v>
      </c>
      <c r="W6" s="36">
        <f>VALUE('Input Breeder'!O21)</f>
        <v>20819.21403152902</v>
      </c>
      <c r="X6" s="36">
        <f>VALUE('Input Breeder'!P21)</f>
        <v>22123.378369183658</v>
      </c>
      <c r="Y6" s="8"/>
      <c r="AA6" t="s">
        <v>201</v>
      </c>
    </row>
    <row r="7" spans="1:27" x14ac:dyDescent="0.2">
      <c r="A7" s="34"/>
      <c r="B7" s="33"/>
      <c r="C7" s="313"/>
      <c r="D7" s="8"/>
      <c r="E7" s="10"/>
      <c r="F7" s="7"/>
      <c r="G7" s="102"/>
      <c r="H7" s="18"/>
      <c r="I7" s="102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8"/>
    </row>
    <row r="8" spans="1:27" ht="15.75" thickBot="1" x14ac:dyDescent="0.3">
      <c r="A8" s="34"/>
      <c r="B8" s="33"/>
      <c r="C8" s="313"/>
      <c r="D8" s="18" t="s">
        <v>68</v>
      </c>
      <c r="E8" s="7" t="s">
        <v>33</v>
      </c>
      <c r="F8" s="291">
        <v>0.88</v>
      </c>
      <c r="G8" s="103"/>
      <c r="H8" s="13"/>
      <c r="I8" s="10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8"/>
    </row>
    <row r="9" spans="1:27" x14ac:dyDescent="0.2">
      <c r="A9" s="34"/>
      <c r="B9" s="33"/>
      <c r="C9" s="313"/>
      <c r="D9" s="27" t="s">
        <v>15</v>
      </c>
      <c r="E9" s="92" t="s">
        <v>16</v>
      </c>
      <c r="F9" s="94" t="s">
        <v>34</v>
      </c>
      <c r="G9" s="104"/>
      <c r="H9" s="13"/>
      <c r="I9" s="104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8"/>
    </row>
    <row r="10" spans="1:27" x14ac:dyDescent="0.2">
      <c r="A10" s="34"/>
      <c r="B10" s="33"/>
      <c r="C10" s="313"/>
      <c r="D10" s="27" t="s">
        <v>119</v>
      </c>
      <c r="E10" s="28" t="s">
        <v>33</v>
      </c>
      <c r="F10" s="95">
        <v>0.8</v>
      </c>
      <c r="G10" s="105"/>
      <c r="H10" s="13"/>
      <c r="I10" s="105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8"/>
    </row>
    <row r="11" spans="1:27" x14ac:dyDescent="0.2">
      <c r="A11" s="34"/>
      <c r="B11" s="33"/>
      <c r="C11" s="313"/>
      <c r="D11" s="8"/>
      <c r="E11" s="10"/>
      <c r="F11" s="79"/>
      <c r="G11" s="81"/>
      <c r="H11" s="13"/>
      <c r="I11" s="81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8"/>
    </row>
    <row r="12" spans="1:27" ht="13.5" thickBot="1" x14ac:dyDescent="0.25">
      <c r="A12" s="34"/>
      <c r="B12" s="33"/>
      <c r="C12" s="313"/>
      <c r="D12" s="18" t="s">
        <v>185</v>
      </c>
      <c r="F12" s="79"/>
      <c r="G12" s="81"/>
      <c r="H12" s="13"/>
      <c r="I12" s="81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8"/>
    </row>
    <row r="13" spans="1:27" ht="13.5" thickBot="1" x14ac:dyDescent="0.25">
      <c r="A13" s="34"/>
      <c r="B13" s="33"/>
      <c r="C13" s="313"/>
      <c r="D13" s="253" t="s">
        <v>188</v>
      </c>
      <c r="E13" s="25" t="s">
        <v>18</v>
      </c>
      <c r="F13" s="256" t="s">
        <v>189</v>
      </c>
      <c r="G13" s="81"/>
      <c r="H13" s="13"/>
      <c r="I13" s="81"/>
      <c r="J13" s="36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8"/>
      <c r="Y13" s="8"/>
    </row>
    <row r="14" spans="1:27" ht="13.5" thickBot="1" x14ac:dyDescent="0.25">
      <c r="A14" s="34"/>
      <c r="B14" s="33"/>
      <c r="C14" s="313"/>
      <c r="D14" s="253" t="s">
        <v>187</v>
      </c>
      <c r="E14" s="25" t="s">
        <v>18</v>
      </c>
      <c r="F14" s="256" t="s">
        <v>190</v>
      </c>
      <c r="G14" s="81"/>
      <c r="H14" s="13"/>
      <c r="I14" s="81"/>
      <c r="J14" s="36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8"/>
      <c r="Y14" s="8"/>
    </row>
    <row r="15" spans="1:27" ht="13.5" thickBot="1" x14ac:dyDescent="0.25">
      <c r="A15" s="34"/>
      <c r="B15" s="33"/>
      <c r="C15" s="313"/>
      <c r="D15" s="8"/>
      <c r="E15" s="10"/>
      <c r="F15" s="79"/>
      <c r="G15" s="81"/>
      <c r="H15" s="13"/>
      <c r="I15" s="81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8"/>
    </row>
    <row r="16" spans="1:27" ht="13.5" thickBot="1" x14ac:dyDescent="0.25">
      <c r="A16" s="34"/>
      <c r="B16" s="33"/>
      <c r="C16" s="313"/>
      <c r="D16" s="18" t="s">
        <v>183</v>
      </c>
      <c r="E16" s="10"/>
      <c r="F16" s="163" t="s">
        <v>101</v>
      </c>
      <c r="G16" s="102"/>
      <c r="H16" s="18"/>
      <c r="I16" s="102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8"/>
    </row>
    <row r="17" spans="1:25" ht="13.5" thickBot="1" x14ac:dyDescent="0.25">
      <c r="A17" s="34"/>
      <c r="B17" s="33"/>
      <c r="C17" s="313"/>
      <c r="D17" s="130" t="s">
        <v>198</v>
      </c>
      <c r="F17" s="79"/>
      <c r="G17" s="81"/>
      <c r="H17" s="33"/>
      <c r="I17" s="81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41"/>
    </row>
    <row r="18" spans="1:25" x14ac:dyDescent="0.2">
      <c r="A18" s="34"/>
      <c r="B18" s="33"/>
      <c r="C18" s="313"/>
      <c r="D18" s="253" t="s">
        <v>241</v>
      </c>
      <c r="E18" s="25" t="s">
        <v>18</v>
      </c>
      <c r="F18" s="129">
        <f t="shared" ref="F18:F23" si="0">SUM(J18:X18)</f>
        <v>38481.152831566069</v>
      </c>
      <c r="G18" s="98"/>
      <c r="H18" s="128"/>
      <c r="I18" s="128"/>
      <c r="J18" s="261">
        <f>VALUE('Input Breeder'!B28)</f>
        <v>2069</v>
      </c>
      <c r="K18" s="261">
        <f>VALUE('Input Breeder'!C28)</f>
        <v>2131.0700000000002</v>
      </c>
      <c r="L18" s="261">
        <f>VALUE('Input Breeder'!D28)</f>
        <v>2195.0021000000002</v>
      </c>
      <c r="M18" s="261">
        <f>VALUE('Input Breeder'!E28)</f>
        <v>2260.852163</v>
      </c>
      <c r="N18" s="261">
        <f>VALUE('Input Breeder'!F28)</f>
        <v>2328.6777278899999</v>
      </c>
      <c r="O18" s="261">
        <f>VALUE('Input Breeder'!G28)</f>
        <v>2398.5380597266999</v>
      </c>
      <c r="P18" s="261">
        <f>VALUE('Input Breeder'!H28)</f>
        <v>2470.4942015185011</v>
      </c>
      <c r="Q18" s="261">
        <f>VALUE('Input Breeder'!I28)</f>
        <v>2544.6090275640563</v>
      </c>
      <c r="R18" s="261">
        <f>VALUE('Input Breeder'!J28)</f>
        <v>2620.9472983909782</v>
      </c>
      <c r="S18" s="261">
        <f>VALUE('Input Breeder'!K28)</f>
        <v>2699.5757173427078</v>
      </c>
      <c r="T18" s="261">
        <f>VALUE('Input Breeder'!L28)</f>
        <v>2780.5629888629892</v>
      </c>
      <c r="U18" s="261">
        <f>VALUE('Input Breeder'!M28)</f>
        <v>2863.979878528879</v>
      </c>
      <c r="V18" s="261">
        <f>VALUE('Input Breeder'!N28)</f>
        <v>2949.8992748847454</v>
      </c>
      <c r="W18" s="261">
        <f>VALUE('Input Breeder'!O28)</f>
        <v>3038.3962531312877</v>
      </c>
      <c r="X18" s="261">
        <f>VALUE('Input Breeder'!P28)</f>
        <v>3129.5481407252264</v>
      </c>
      <c r="Y18" s="41"/>
    </row>
    <row r="19" spans="1:25" x14ac:dyDescent="0.2">
      <c r="A19" s="34"/>
      <c r="B19" s="33"/>
      <c r="C19" s="313"/>
      <c r="D19" s="253" t="s">
        <v>180</v>
      </c>
      <c r="E19" s="25" t="s">
        <v>18</v>
      </c>
      <c r="F19" s="51">
        <f t="shared" si="0"/>
        <v>0</v>
      </c>
      <c r="G19" s="98"/>
      <c r="H19" s="128"/>
      <c r="I19" s="128"/>
      <c r="J19" s="262"/>
      <c r="K19" s="260"/>
      <c r="L19" s="260"/>
      <c r="M19" s="260"/>
      <c r="N19" s="260"/>
      <c r="O19" s="260"/>
      <c r="P19" s="260"/>
      <c r="Q19" s="260"/>
      <c r="R19" s="260"/>
      <c r="S19" s="260"/>
      <c r="T19" s="260"/>
      <c r="U19" s="260"/>
      <c r="V19" s="260"/>
      <c r="W19" s="260"/>
      <c r="X19" s="263"/>
      <c r="Y19" s="41"/>
    </row>
    <row r="20" spans="1:25" x14ac:dyDescent="0.2">
      <c r="A20" s="34"/>
      <c r="B20" s="33"/>
      <c r="C20" s="313"/>
      <c r="D20" s="253" t="s">
        <v>181</v>
      </c>
      <c r="E20" s="25" t="s">
        <v>18</v>
      </c>
      <c r="F20" s="51">
        <f t="shared" si="0"/>
        <v>0</v>
      </c>
      <c r="G20" s="98"/>
      <c r="H20" s="128"/>
      <c r="I20" s="128"/>
      <c r="J20" s="262"/>
      <c r="K20" s="260"/>
      <c r="L20" s="260"/>
      <c r="M20" s="260"/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3"/>
      <c r="Y20" s="41"/>
    </row>
    <row r="21" spans="1:25" x14ac:dyDescent="0.2">
      <c r="A21" s="34"/>
      <c r="B21" s="33"/>
      <c r="C21" s="313"/>
      <c r="D21" s="253" t="s">
        <v>21</v>
      </c>
      <c r="E21" s="25" t="s">
        <v>18</v>
      </c>
      <c r="F21" s="51">
        <f t="shared" si="0"/>
        <v>0</v>
      </c>
      <c r="G21" s="98"/>
      <c r="H21" s="128"/>
      <c r="I21" s="128"/>
      <c r="J21" s="262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3"/>
      <c r="Y21" s="41"/>
    </row>
    <row r="22" spans="1:25" ht="13.5" thickBot="1" x14ac:dyDescent="0.25">
      <c r="A22" s="34"/>
      <c r="B22" s="33"/>
      <c r="C22" s="313"/>
      <c r="D22" s="253" t="s">
        <v>182</v>
      </c>
      <c r="E22" s="25" t="s">
        <v>18</v>
      </c>
      <c r="F22" s="51">
        <f t="shared" si="0"/>
        <v>0</v>
      </c>
      <c r="G22" s="98"/>
      <c r="H22" s="128"/>
      <c r="I22" s="128"/>
      <c r="J22" s="264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6"/>
      <c r="Y22" s="41"/>
    </row>
    <row r="23" spans="1:25" ht="13.5" thickBot="1" x14ac:dyDescent="0.25">
      <c r="A23" s="34"/>
      <c r="B23" s="33"/>
      <c r="C23" s="313"/>
      <c r="D23" s="131" t="s">
        <v>122</v>
      </c>
      <c r="E23" s="7" t="s">
        <v>18</v>
      </c>
      <c r="F23" s="42">
        <f t="shared" si="0"/>
        <v>38481.152831566069</v>
      </c>
      <c r="G23" s="100"/>
      <c r="H23" s="132"/>
      <c r="I23" s="132"/>
      <c r="J23" s="257">
        <f t="shared" ref="J23:X23" si="1">SUM(J18:J22)</f>
        <v>2069</v>
      </c>
      <c r="K23" s="258">
        <f t="shared" si="1"/>
        <v>2131.0700000000002</v>
      </c>
      <c r="L23" s="258">
        <f t="shared" si="1"/>
        <v>2195.0021000000002</v>
      </c>
      <c r="M23" s="258">
        <f t="shared" si="1"/>
        <v>2260.852163</v>
      </c>
      <c r="N23" s="258">
        <f t="shared" si="1"/>
        <v>2328.6777278899999</v>
      </c>
      <c r="O23" s="258">
        <f t="shared" ref="O23:S23" si="2">SUM(O18:O22)</f>
        <v>2398.5380597266999</v>
      </c>
      <c r="P23" s="258">
        <f t="shared" si="2"/>
        <v>2470.4942015185011</v>
      </c>
      <c r="Q23" s="258">
        <f t="shared" si="2"/>
        <v>2544.6090275640563</v>
      </c>
      <c r="R23" s="258">
        <f t="shared" si="2"/>
        <v>2620.9472983909782</v>
      </c>
      <c r="S23" s="258">
        <f t="shared" si="2"/>
        <v>2699.5757173427078</v>
      </c>
      <c r="T23" s="258">
        <f t="shared" si="1"/>
        <v>2780.5629888629892</v>
      </c>
      <c r="U23" s="258">
        <f t="shared" si="1"/>
        <v>2863.979878528879</v>
      </c>
      <c r="V23" s="258">
        <f t="shared" si="1"/>
        <v>2949.8992748847454</v>
      </c>
      <c r="W23" s="258">
        <f t="shared" si="1"/>
        <v>3038.3962531312877</v>
      </c>
      <c r="X23" s="259">
        <f t="shared" si="1"/>
        <v>3129.5481407252264</v>
      </c>
      <c r="Y23" s="41"/>
    </row>
    <row r="24" spans="1:25" x14ac:dyDescent="0.2">
      <c r="A24" s="34"/>
      <c r="B24" s="33"/>
      <c r="C24" s="313"/>
      <c r="D24" s="127"/>
      <c r="E24" s="25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41"/>
    </row>
    <row r="25" spans="1:25" ht="13.5" hidden="1" outlineLevel="1" thickBot="1" x14ac:dyDescent="0.25">
      <c r="A25" s="34"/>
      <c r="B25" s="33"/>
      <c r="C25" s="313"/>
      <c r="D25" s="127"/>
      <c r="E25" s="25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41"/>
    </row>
    <row r="26" spans="1:25" ht="13.5" hidden="1" outlineLevel="1" thickBot="1" x14ac:dyDescent="0.25">
      <c r="A26" s="34"/>
      <c r="B26" s="33"/>
      <c r="C26" s="313"/>
      <c r="D26" s="133" t="s">
        <v>77</v>
      </c>
      <c r="E26" s="134" t="s">
        <v>18</v>
      </c>
      <c r="F26" s="135"/>
      <c r="G26" s="136"/>
      <c r="H26" s="154"/>
      <c r="I26" s="154"/>
      <c r="J26" s="137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9"/>
      <c r="Y26" s="41"/>
    </row>
    <row r="27" spans="1:25" hidden="1" outlineLevel="1" x14ac:dyDescent="0.2">
      <c r="A27" s="34"/>
      <c r="B27" s="33"/>
      <c r="C27" s="313"/>
      <c r="D27" s="131"/>
      <c r="E27" s="7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41"/>
    </row>
    <row r="28" spans="1:25" ht="13.5" collapsed="1" thickBot="1" x14ac:dyDescent="0.25">
      <c r="A28" s="34"/>
      <c r="B28" s="33"/>
      <c r="C28" s="313"/>
      <c r="D28" s="215" t="s">
        <v>120</v>
      </c>
      <c r="E28" s="25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41"/>
    </row>
    <row r="29" spans="1:25" ht="13.5" thickBot="1" x14ac:dyDescent="0.25">
      <c r="A29" s="34"/>
      <c r="B29" s="33"/>
      <c r="C29" s="313"/>
      <c r="D29" s="93" t="s">
        <v>121</v>
      </c>
      <c r="E29" s="7" t="s">
        <v>18</v>
      </c>
      <c r="F29" s="42">
        <f>SUM(J29:X29)</f>
        <v>0</v>
      </c>
      <c r="G29" s="100"/>
      <c r="H29" s="132"/>
      <c r="I29" s="132"/>
      <c r="J29" s="36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8"/>
      <c r="Y29" s="41"/>
    </row>
    <row r="30" spans="1:25" x14ac:dyDescent="0.2">
      <c r="A30" s="34"/>
      <c r="B30" s="33"/>
      <c r="C30" s="313"/>
      <c r="D30" s="8"/>
      <c r="E30" s="10"/>
      <c r="F30" s="7"/>
      <c r="G30" s="102"/>
      <c r="H30" s="132"/>
      <c r="I30" s="102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1"/>
    </row>
    <row r="31" spans="1:25" ht="13.5" thickBot="1" x14ac:dyDescent="0.25">
      <c r="A31" s="34"/>
      <c r="B31" s="33"/>
      <c r="C31" s="313"/>
      <c r="D31" s="22" t="s">
        <v>184</v>
      </c>
      <c r="F31" s="43" t="s">
        <v>19</v>
      </c>
      <c r="G31" s="102"/>
      <c r="H31" s="33"/>
      <c r="I31" s="102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41"/>
    </row>
    <row r="32" spans="1:25" ht="13.5" thickBot="1" x14ac:dyDescent="0.25">
      <c r="A32" s="34"/>
      <c r="B32" s="33"/>
      <c r="C32" s="29"/>
      <c r="D32" s="93" t="s">
        <v>121</v>
      </c>
      <c r="E32" s="7" t="s">
        <v>18</v>
      </c>
      <c r="F32" s="42">
        <f>SUM(J32:X32)</f>
        <v>0</v>
      </c>
      <c r="G32" s="100"/>
      <c r="H32" s="132"/>
      <c r="I32" s="132"/>
      <c r="J32" s="36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45"/>
    </row>
    <row r="33" spans="1:27" ht="13.5" thickBot="1" x14ac:dyDescent="0.25">
      <c r="A33" s="29"/>
      <c r="B33" s="56"/>
      <c r="C33" s="56"/>
      <c r="D33" s="78"/>
      <c r="E33" s="140"/>
      <c r="F33" s="141"/>
      <c r="G33" s="142"/>
      <c r="H33" s="216"/>
      <c r="I33" s="142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4"/>
    </row>
    <row r="34" spans="1:27" x14ac:dyDescent="0.2">
      <c r="A34" s="29"/>
      <c r="B34" s="33"/>
      <c r="C34" s="29"/>
      <c r="D34" s="8"/>
      <c r="E34" s="10"/>
      <c r="F34" s="7"/>
      <c r="G34" s="102"/>
      <c r="H34" s="44"/>
      <c r="I34" s="102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1"/>
    </row>
    <row r="35" spans="1:27" x14ac:dyDescent="0.2">
      <c r="A35" s="34"/>
      <c r="B35" s="33"/>
      <c r="C35" s="32" t="s">
        <v>61</v>
      </c>
      <c r="D35" s="8"/>
      <c r="E35" s="10"/>
      <c r="F35" s="7"/>
      <c r="G35" s="102"/>
      <c r="H35" s="44"/>
      <c r="I35" s="102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1"/>
    </row>
    <row r="36" spans="1:27" x14ac:dyDescent="0.2">
      <c r="A36" s="34"/>
      <c r="B36" s="33"/>
      <c r="C36" s="32"/>
      <c r="D36" t="s">
        <v>171</v>
      </c>
      <c r="E36" s="10"/>
      <c r="F36" s="7"/>
      <c r="G36" s="102"/>
      <c r="H36" s="44"/>
      <c r="I36" s="102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1"/>
    </row>
    <row r="37" spans="1:27" x14ac:dyDescent="0.2">
      <c r="A37" s="34"/>
      <c r="B37" s="33"/>
      <c r="C37" s="32"/>
      <c r="D37" s="18" t="s">
        <v>76</v>
      </c>
      <c r="E37" s="10"/>
      <c r="F37" s="126"/>
      <c r="G37" s="102"/>
      <c r="H37" s="44"/>
      <c r="I37" s="102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1"/>
    </row>
    <row r="38" spans="1:27" ht="13.5" thickBot="1" x14ac:dyDescent="0.25">
      <c r="A38" s="34"/>
      <c r="B38" s="33"/>
      <c r="C38" s="32"/>
      <c r="D38" s="8"/>
      <c r="E38" s="10"/>
      <c r="F38" s="7"/>
      <c r="G38" s="102"/>
      <c r="H38" s="44"/>
      <c r="I38" s="102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1"/>
    </row>
    <row r="39" spans="1:27" ht="13.5" thickBot="1" x14ac:dyDescent="0.25">
      <c r="A39" s="34"/>
      <c r="B39" s="33"/>
      <c r="C39" s="29"/>
      <c r="D39" s="18" t="s">
        <v>62</v>
      </c>
      <c r="E39" s="7" t="s">
        <v>18</v>
      </c>
      <c r="F39" s="7"/>
      <c r="G39" s="102"/>
      <c r="H39" s="155"/>
      <c r="I39" s="102"/>
      <c r="J39" s="36">
        <f>VALUE('Input Breeder'!B14)</f>
        <v>9450</v>
      </c>
      <c r="K39" s="36">
        <f>VALUE('Input Breeder'!C14)</f>
        <v>7799.5884562342071</v>
      </c>
      <c r="L39" s="36">
        <f>VALUE('Input Breeder'!D14)</f>
        <v>6437.415882182212</v>
      </c>
      <c r="M39" s="36">
        <f>VALUE('Input Breeder'!E14)</f>
        <v>5313.142285994405</v>
      </c>
      <c r="N39" s="36">
        <f>VALUE('Input Breeder'!F14)</f>
        <v>4385.2193904943697</v>
      </c>
      <c r="O39" s="36">
        <f>VALUE('Input Breeder'!G14)</f>
        <v>3619.3551890110366</v>
      </c>
      <c r="P39" s="36">
        <f>VALUE('Input Breeder'!H14)</f>
        <v>2987.2466615049589</v>
      </c>
      <c r="Q39" s="36">
        <f>VALUE('Input Breeder'!I14)</f>
        <v>2465.5338176717728</v>
      </c>
      <c r="R39" s="36">
        <f>VALUE('Input Breeder'!J14)</f>
        <v>2034.9364129913031</v>
      </c>
      <c r="S39" s="36">
        <f>VALUE('Input Breeder'!K14)</f>
        <v>1679.5414344907529</v>
      </c>
      <c r="T39" s="36">
        <f>VALUE('Input Breeder'!L14)</f>
        <v>1386.2150247853035</v>
      </c>
      <c r="U39" s="36">
        <f>VALUE('Input Breeder'!M14)</f>
        <v>1144.1171116586106</v>
      </c>
      <c r="V39" s="36">
        <f>VALUE('Input Breeder'!N14)</f>
        <v>944.30080599709243</v>
      </c>
      <c r="W39" s="36">
        <f>VALUE('Input Breeder'!O14)</f>
        <v>779.38176356270685</v>
      </c>
      <c r="X39" s="36">
        <f>VALUE('Input Breeder'!P14)</f>
        <v>643.26529164901035</v>
      </c>
      <c r="Y39" s="41">
        <v>728</v>
      </c>
      <c r="AA39" t="s">
        <v>202</v>
      </c>
    </row>
    <row r="40" spans="1:27" ht="13.5" thickBot="1" x14ac:dyDescent="0.25">
      <c r="A40" s="34"/>
      <c r="B40" s="33"/>
      <c r="C40" s="29"/>
      <c r="D40" s="8"/>
      <c r="E40" s="10"/>
      <c r="F40" s="7"/>
      <c r="G40" s="102"/>
      <c r="H40" s="18"/>
      <c r="I40" s="102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8"/>
    </row>
    <row r="41" spans="1:27" ht="13.5" thickBot="1" x14ac:dyDescent="0.25">
      <c r="A41" s="34"/>
      <c r="B41" s="33"/>
      <c r="C41" s="29"/>
      <c r="D41" s="18" t="s">
        <v>63</v>
      </c>
      <c r="E41" s="7" t="s">
        <v>14</v>
      </c>
      <c r="F41" s="40">
        <v>0.8</v>
      </c>
      <c r="G41" s="103"/>
      <c r="H41" s="13"/>
      <c r="I41" s="10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8"/>
    </row>
    <row r="44" spans="1:27" x14ac:dyDescent="0.2">
      <c r="C44" s="254"/>
      <c r="D44" s="255"/>
    </row>
  </sheetData>
  <mergeCells count="1">
    <mergeCell ref="C6:C31"/>
  </mergeCells>
  <phoneticPr fontId="2" type="noConversion"/>
  <printOptions horizontalCentered="1"/>
  <pageMargins left="0.74803149606299213" right="0.74803149606299213" top="0.98425196850393704" bottom="0.69" header="0.51181102362204722" footer="0.39"/>
  <pageSetup paperSize="9" scale="59" orientation="landscape" r:id="rId1"/>
  <headerFooter alignWithMargins="0">
    <oddFooter>&amp;C&amp;F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85"/>
  <sheetViews>
    <sheetView zoomScale="75" workbookViewId="0">
      <selection activeCell="AG28" sqref="AG28"/>
    </sheetView>
  </sheetViews>
  <sheetFormatPr defaultRowHeight="12.75" x14ac:dyDescent="0.2"/>
  <cols>
    <col min="1" max="1" width="2.85546875" customWidth="1"/>
    <col min="2" max="2" width="41.5703125" customWidth="1"/>
    <col min="3" max="3" width="2" customWidth="1"/>
    <col min="4" max="4" width="10.42578125" style="4" customWidth="1"/>
    <col min="5" max="5" width="2.5703125" style="4" customWidth="1"/>
    <col min="6" max="6" width="9.140625" style="4"/>
    <col min="7" max="21" width="13.5703125" customWidth="1"/>
    <col min="22" max="22" width="11.28515625" customWidth="1"/>
    <col min="23" max="23" width="9.140625" style="4"/>
    <col min="25" max="30" width="0" hidden="1" customWidth="1"/>
  </cols>
  <sheetData>
    <row r="1" spans="1:29" ht="15.75" x14ac:dyDescent="0.25">
      <c r="A1" s="17" t="s">
        <v>11</v>
      </c>
      <c r="B1" s="8"/>
      <c r="C1" s="8"/>
      <c r="D1" s="10"/>
      <c r="E1" s="10"/>
      <c r="F1" s="10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9" ht="13.5" thickBot="1" x14ac:dyDescent="0.25">
      <c r="A2" s="8"/>
      <c r="B2" s="18"/>
      <c r="C2" s="18"/>
      <c r="D2" s="10"/>
      <c r="E2" s="10"/>
      <c r="F2" s="10"/>
      <c r="G2" s="19">
        <v>1</v>
      </c>
      <c r="H2" s="19">
        <v>2</v>
      </c>
      <c r="I2" s="19">
        <v>3</v>
      </c>
      <c r="J2" s="19">
        <v>4</v>
      </c>
      <c r="K2" s="19">
        <v>5</v>
      </c>
      <c r="L2" s="19"/>
      <c r="M2" s="19"/>
      <c r="N2" s="19"/>
      <c r="O2" s="19"/>
      <c r="P2" s="19"/>
      <c r="Q2" s="19">
        <v>6</v>
      </c>
      <c r="R2" s="19">
        <v>7</v>
      </c>
      <c r="S2" s="19">
        <v>8</v>
      </c>
      <c r="T2" s="19">
        <v>9</v>
      </c>
      <c r="U2" s="19">
        <v>10</v>
      </c>
      <c r="V2" s="8"/>
      <c r="W2" s="79"/>
    </row>
    <row r="3" spans="1:29" ht="13.5" thickBot="1" x14ac:dyDescent="0.25">
      <c r="A3" s="8"/>
      <c r="B3" s="214" t="s">
        <v>1</v>
      </c>
      <c r="C3" s="13"/>
      <c r="D3" s="213" t="s">
        <v>2</v>
      </c>
      <c r="E3" s="7"/>
      <c r="F3" s="180" t="s">
        <v>232</v>
      </c>
      <c r="G3" s="181">
        <v>1</v>
      </c>
      <c r="H3" s="180">
        <v>2</v>
      </c>
      <c r="I3" s="181">
        <v>3</v>
      </c>
      <c r="J3" s="180">
        <v>4</v>
      </c>
      <c r="K3" s="181">
        <v>5</v>
      </c>
      <c r="L3" s="180">
        <v>6</v>
      </c>
      <c r="M3" s="181">
        <v>7</v>
      </c>
      <c r="N3" s="180">
        <v>8</v>
      </c>
      <c r="O3" s="181">
        <v>9</v>
      </c>
      <c r="P3" s="180">
        <v>10</v>
      </c>
      <c r="Q3" s="181">
        <v>11</v>
      </c>
      <c r="R3" s="180">
        <v>12</v>
      </c>
      <c r="S3" s="181">
        <v>13</v>
      </c>
      <c r="T3" s="180">
        <v>14</v>
      </c>
      <c r="U3" s="181">
        <v>15</v>
      </c>
      <c r="V3" s="8"/>
      <c r="W3" s="80" t="s">
        <v>46</v>
      </c>
    </row>
    <row r="4" spans="1:29" x14ac:dyDescent="0.2">
      <c r="A4" s="8"/>
      <c r="B4" s="8"/>
      <c r="C4" s="8"/>
      <c r="D4" s="10"/>
      <c r="E4" s="10"/>
      <c r="F4" s="20"/>
      <c r="G4" s="20">
        <v>1</v>
      </c>
      <c r="H4" s="20">
        <v>2</v>
      </c>
      <c r="I4" s="20">
        <v>3</v>
      </c>
      <c r="J4" s="20">
        <v>4</v>
      </c>
      <c r="K4" s="20">
        <v>5</v>
      </c>
      <c r="L4" s="20">
        <v>6</v>
      </c>
      <c r="M4" s="20">
        <v>7</v>
      </c>
      <c r="N4" s="20">
        <v>8</v>
      </c>
      <c r="O4" s="20">
        <v>9</v>
      </c>
      <c r="P4" s="20">
        <v>10</v>
      </c>
      <c r="Q4" s="20">
        <v>11</v>
      </c>
      <c r="R4" s="20">
        <v>12</v>
      </c>
      <c r="S4" s="20">
        <v>13</v>
      </c>
      <c r="T4" s="20">
        <v>14</v>
      </c>
      <c r="U4" s="20">
        <v>15</v>
      </c>
      <c r="V4" s="8"/>
      <c r="W4" s="79"/>
    </row>
    <row r="5" spans="1:29" s="74" customFormat="1" x14ac:dyDescent="0.2">
      <c r="A5" s="18"/>
      <c r="B5" s="18" t="s">
        <v>91</v>
      </c>
      <c r="C5" s="18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9" x14ac:dyDescent="0.2">
      <c r="A6" s="8"/>
      <c r="B6" s="50" t="s">
        <v>64</v>
      </c>
      <c r="C6" s="50"/>
      <c r="D6" s="25" t="s">
        <v>18</v>
      </c>
      <c r="E6" s="151"/>
      <c r="F6" s="186">
        <f>'Secondary Inputs'!H6</f>
        <v>0</v>
      </c>
      <c r="G6" s="186">
        <f>'Secondary Inputs'!J6*$W$8</f>
        <v>9450</v>
      </c>
      <c r="H6" s="186">
        <f>'Secondary Inputs'!K6*$W$8</f>
        <v>10041.970137401542</v>
      </c>
      <c r="I6" s="186">
        <f>'Secondary Inputs'!L6*$W$8</f>
        <v>10671.022670948607</v>
      </c>
      <c r="J6" s="186">
        <f>'Secondary Inputs'!M6*$W$8</f>
        <v>11339.480528804314</v>
      </c>
      <c r="K6" s="186">
        <f>'Secondary Inputs'!N6*$W$8</f>
        <v>12049.812152793564</v>
      </c>
      <c r="L6" s="186">
        <f>'Secondary Inputs'!O6*$W$8</f>
        <v>12804.640613719699</v>
      </c>
      <c r="M6" s="186">
        <f>'Secondary Inputs'!P6*$W$8</f>
        <v>13606.753297685942</v>
      </c>
      <c r="N6" s="186">
        <f>'Secondary Inputs'!Q6*$W$8</f>
        <v>14459.112199190708</v>
      </c>
      <c r="O6" s="186">
        <f>'Secondary Inputs'!R6*$W$8</f>
        <v>15364.8648590065</v>
      </c>
      <c r="P6" s="186">
        <f>'Secondary Inputs'!S6*$W$8</f>
        <v>16327.355987233188</v>
      </c>
      <c r="Q6" s="186">
        <f>'Secondary Inputs'!T6*$W$8</f>
        <v>17350.139814446557</v>
      </c>
      <c r="R6" s="186">
        <f>'Secondary Inputs'!U6*$W$8</f>
        <v>18436.993216551731</v>
      </c>
      <c r="S6" s="186">
        <f>'Secondary Inputs'!V6*$W$8</f>
        <v>19591.929661808179</v>
      </c>
      <c r="T6" s="186">
        <f>'Secondary Inputs'!W6*$W$8</f>
        <v>20819.21403152902</v>
      </c>
      <c r="U6" s="186">
        <f>'Secondary Inputs'!X6*$W$8</f>
        <v>22123.378369183658</v>
      </c>
      <c r="V6" s="96">
        <f>U6*(1+'Common NPV parameters'!F9)</f>
        <v>22123.378369183658</v>
      </c>
      <c r="W6" s="80"/>
    </row>
    <row r="7" spans="1:29" ht="13.5" thickBot="1" x14ac:dyDescent="0.25">
      <c r="A7" s="8"/>
      <c r="B7" s="50" t="s">
        <v>65</v>
      </c>
      <c r="C7" s="50"/>
      <c r="D7" s="25" t="s">
        <v>18</v>
      </c>
      <c r="E7" s="151"/>
      <c r="F7" s="186">
        <f>'Secondary Inputs'!H39</f>
        <v>0</v>
      </c>
      <c r="G7" s="186">
        <f>'Secondary Inputs'!J39*$W$8</f>
        <v>9450</v>
      </c>
      <c r="H7" s="186">
        <f>'Secondary Inputs'!K39*$W$8</f>
        <v>7799.5884562342071</v>
      </c>
      <c r="I7" s="186">
        <f>'Secondary Inputs'!L39*$W$8</f>
        <v>6437.415882182212</v>
      </c>
      <c r="J7" s="186">
        <f>'Secondary Inputs'!M39*$W$8</f>
        <v>5313.142285994405</v>
      </c>
      <c r="K7" s="186">
        <f>'Secondary Inputs'!N39*$W$8</f>
        <v>4385.2193904943697</v>
      </c>
      <c r="L7" s="186">
        <f>'Secondary Inputs'!O39*$W$8</f>
        <v>3619.3551890110366</v>
      </c>
      <c r="M7" s="186">
        <f>'Secondary Inputs'!P39*$W$8</f>
        <v>2987.2466615049589</v>
      </c>
      <c r="N7" s="186">
        <f>'Secondary Inputs'!Q39*$W$8</f>
        <v>2465.5338176717728</v>
      </c>
      <c r="O7" s="186">
        <f>'Secondary Inputs'!R39*$W$8</f>
        <v>2034.9364129913031</v>
      </c>
      <c r="P7" s="186">
        <f>'Secondary Inputs'!S39*$W$8</f>
        <v>1679.5414344907529</v>
      </c>
      <c r="Q7" s="186">
        <f>'Secondary Inputs'!T39*$W$8</f>
        <v>1386.2150247853035</v>
      </c>
      <c r="R7" s="186">
        <f>'Secondary Inputs'!U39*$W$8</f>
        <v>1144.1171116586106</v>
      </c>
      <c r="S7" s="186">
        <f>'Secondary Inputs'!V39*$W$8</f>
        <v>944.30080599709243</v>
      </c>
      <c r="T7" s="186">
        <f>'Secondary Inputs'!W39*$W$8</f>
        <v>779.38176356270685</v>
      </c>
      <c r="U7" s="186">
        <f>'Secondary Inputs'!X39*$W$8</f>
        <v>643.26529164901035</v>
      </c>
      <c r="V7" s="96">
        <f>U7*(1+'Common NPV parameters'!F10)</f>
        <v>643.26529164901035</v>
      </c>
      <c r="W7" s="80"/>
    </row>
    <row r="8" spans="1:29" ht="13.5" thickBot="1" x14ac:dyDescent="0.25">
      <c r="A8" s="8"/>
      <c r="B8" s="23" t="s">
        <v>93</v>
      </c>
      <c r="C8" s="23"/>
      <c r="D8" s="7" t="s">
        <v>18</v>
      </c>
      <c r="E8" s="150"/>
      <c r="F8" s="187">
        <f t="shared" ref="F8:U8" si="0">F6-F7</f>
        <v>0</v>
      </c>
      <c r="G8" s="187">
        <f t="shared" si="0"/>
        <v>0</v>
      </c>
      <c r="H8" s="188">
        <f t="shared" si="0"/>
        <v>2242.381681167335</v>
      </c>
      <c r="I8" s="188">
        <f t="shared" si="0"/>
        <v>4233.6067887663949</v>
      </c>
      <c r="J8" s="188">
        <f t="shared" si="0"/>
        <v>6026.3382428099085</v>
      </c>
      <c r="K8" s="188">
        <f t="shared" si="0"/>
        <v>7664.592762299194</v>
      </c>
      <c r="L8" s="188">
        <f t="shared" ref="L8:P8" si="1">L6-L7</f>
        <v>9185.2854247086616</v>
      </c>
      <c r="M8" s="188">
        <f t="shared" si="1"/>
        <v>10619.506636180984</v>
      </c>
      <c r="N8" s="188">
        <f t="shared" si="1"/>
        <v>11993.578381518935</v>
      </c>
      <c r="O8" s="188">
        <f t="shared" si="1"/>
        <v>13329.928446015198</v>
      </c>
      <c r="P8" s="188">
        <f t="shared" si="1"/>
        <v>14647.814552742435</v>
      </c>
      <c r="Q8" s="188">
        <f t="shared" si="0"/>
        <v>15963.924789661252</v>
      </c>
      <c r="R8" s="188">
        <f t="shared" si="0"/>
        <v>17292.876104893119</v>
      </c>
      <c r="S8" s="188">
        <f t="shared" si="0"/>
        <v>18647.628855811086</v>
      </c>
      <c r="T8" s="188">
        <f t="shared" si="0"/>
        <v>20039.832267966314</v>
      </c>
      <c r="U8" s="189">
        <f t="shared" si="0"/>
        <v>21480.113077534646</v>
      </c>
      <c r="V8" s="96">
        <f>SUM(V6:V7)</f>
        <v>22766.643660832669</v>
      </c>
      <c r="W8" s="96">
        <v>1</v>
      </c>
    </row>
    <row r="9" spans="1:29" s="148" customFormat="1" x14ac:dyDescent="0.2">
      <c r="A9" s="14"/>
      <c r="B9" s="13"/>
      <c r="C9" s="13"/>
      <c r="D9" s="147"/>
      <c r="E9" s="102"/>
      <c r="F9" s="190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96"/>
      <c r="W9" s="119"/>
    </row>
    <row r="10" spans="1:29" s="74" customFormat="1" x14ac:dyDescent="0.2">
      <c r="A10" s="18"/>
      <c r="B10" s="18" t="s">
        <v>92</v>
      </c>
      <c r="C10" s="18"/>
      <c r="E10" s="39"/>
      <c r="F10" s="192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96"/>
      <c r="W10" s="39"/>
    </row>
    <row r="11" spans="1:29" x14ac:dyDescent="0.2">
      <c r="A11" s="8"/>
      <c r="B11" s="50" t="s">
        <v>66</v>
      </c>
      <c r="C11" s="50"/>
      <c r="D11" s="25" t="s">
        <v>18</v>
      </c>
      <c r="E11" s="151"/>
      <c r="F11" s="194"/>
      <c r="G11" s="186">
        <f>G6*'Secondary Inputs'!$F$8*$W$13</f>
        <v>8316</v>
      </c>
      <c r="H11" s="186">
        <f>H6*'Secondary Inputs'!$F$8*$W$13</f>
        <v>8836.9337209133573</v>
      </c>
      <c r="I11" s="186">
        <f>I6*'Secondary Inputs'!$F$8*$W$13</f>
        <v>9390.4999504347743</v>
      </c>
      <c r="J11" s="186">
        <f>J6*'Secondary Inputs'!$F$8*$W$13</f>
        <v>9978.7428653477964</v>
      </c>
      <c r="K11" s="186">
        <f>K6*'Secondary Inputs'!$F$8*$W$13</f>
        <v>10603.834694458335</v>
      </c>
      <c r="L11" s="186">
        <f>L6*'Secondary Inputs'!$F$8*$W$13</f>
        <v>11268.083740073334</v>
      </c>
      <c r="M11" s="186">
        <f>M6*'Secondary Inputs'!$F$8*$W$13</f>
        <v>11973.942901963628</v>
      </c>
      <c r="N11" s="186">
        <f>N6*'Secondary Inputs'!$F$8*$W$13</f>
        <v>12724.018735287822</v>
      </c>
      <c r="O11" s="186">
        <f>O6*'Secondary Inputs'!$F$8*$W$13</f>
        <v>13521.08107592572</v>
      </c>
      <c r="P11" s="186">
        <f>P6*'Secondary Inputs'!$F$8*$W$13</f>
        <v>14368.073268765205</v>
      </c>
      <c r="Q11" s="186">
        <f>Q6*'Secondary Inputs'!$F$8*$W$13</f>
        <v>15268.12303671297</v>
      </c>
      <c r="R11" s="186">
        <f>R6*'Secondary Inputs'!$F$8*$W$13</f>
        <v>16224.554030565523</v>
      </c>
      <c r="S11" s="186">
        <f>S6*'Secondary Inputs'!$F$8*$W$13</f>
        <v>17240.898102391198</v>
      </c>
      <c r="T11" s="186">
        <f>T6*'Secondary Inputs'!$F$8*$W$13</f>
        <v>18320.908347745539</v>
      </c>
      <c r="U11" s="186">
        <f>U6*'Secondary Inputs'!$F$8*$W$13</f>
        <v>19468.57296488162</v>
      </c>
      <c r="V11" s="96">
        <f>V6*'Secondary Inputs'!$F$8*$W$13</f>
        <v>19468.57296488162</v>
      </c>
      <c r="W11" s="79"/>
    </row>
    <row r="12" spans="1:29" ht="13.5" thickBot="1" x14ac:dyDescent="0.25">
      <c r="A12" s="8"/>
      <c r="B12" s="50" t="s">
        <v>67</v>
      </c>
      <c r="C12" s="50"/>
      <c r="D12" s="25" t="s">
        <v>18</v>
      </c>
      <c r="E12" s="151"/>
      <c r="F12" s="194"/>
      <c r="G12" s="195">
        <f>G7*'Secondary Inputs'!$F$41*$W$13</f>
        <v>7560</v>
      </c>
      <c r="H12" s="195">
        <f>H7*'Secondary Inputs'!$F$41*$W$13</f>
        <v>6239.6707649873661</v>
      </c>
      <c r="I12" s="195">
        <f>I7*'Secondary Inputs'!$F$41*$W$13</f>
        <v>5149.9327057457704</v>
      </c>
      <c r="J12" s="195">
        <f>J7*'Secondary Inputs'!$F$41*$W$13</f>
        <v>4250.5138287955242</v>
      </c>
      <c r="K12" s="195">
        <f>K7*'Secondary Inputs'!$F$41*$W$13</f>
        <v>3508.1755123954958</v>
      </c>
      <c r="L12" s="195">
        <f>L7*'Secondary Inputs'!$F$41*$W$13</f>
        <v>2895.4841512088296</v>
      </c>
      <c r="M12" s="195">
        <f>M7*'Secondary Inputs'!$F$41*$W$13</f>
        <v>2389.7973292039674</v>
      </c>
      <c r="N12" s="195">
        <f>N7*'Secondary Inputs'!$F$41*$W$13</f>
        <v>1972.4270541374183</v>
      </c>
      <c r="O12" s="195">
        <f>O7*'Secondary Inputs'!$F$41*$W$13</f>
        <v>1627.9491303930427</v>
      </c>
      <c r="P12" s="195">
        <f>P7*'Secondary Inputs'!$F$41*$W$13</f>
        <v>1343.6331475926024</v>
      </c>
      <c r="Q12" s="195">
        <f>Q7*'Secondary Inputs'!$F$41*$W$13</f>
        <v>1108.9720198282428</v>
      </c>
      <c r="R12" s="195">
        <f>R7*'Secondary Inputs'!$F$41*$W$13</f>
        <v>915.29368932688851</v>
      </c>
      <c r="S12" s="195">
        <f>S7*'Secondary Inputs'!$F$41*$W$13</f>
        <v>755.44064479767394</v>
      </c>
      <c r="T12" s="195">
        <f>T7*'Secondary Inputs'!$F$41*$W$13</f>
        <v>623.5054108501655</v>
      </c>
      <c r="U12" s="195">
        <f>U7*'Secondary Inputs'!$F$41*$W$13</f>
        <v>514.61223331920826</v>
      </c>
      <c r="V12" s="96">
        <f>V7*'Secondary Inputs'!$F$41*$W$13</f>
        <v>514.61223331920826</v>
      </c>
      <c r="W12" s="79"/>
    </row>
    <row r="13" spans="1:29" ht="13.5" thickBot="1" x14ac:dyDescent="0.25">
      <c r="A13" s="8"/>
      <c r="B13" s="23" t="s">
        <v>94</v>
      </c>
      <c r="C13" s="23"/>
      <c r="D13" s="7" t="s">
        <v>18</v>
      </c>
      <c r="E13" s="150"/>
      <c r="F13" s="196"/>
      <c r="G13" s="187">
        <f t="shared" ref="G13:U13" si="2">G11-G12</f>
        <v>756</v>
      </c>
      <c r="H13" s="188">
        <f t="shared" si="2"/>
        <v>2597.2629559259913</v>
      </c>
      <c r="I13" s="188">
        <f t="shared" si="2"/>
        <v>4240.5672446890039</v>
      </c>
      <c r="J13" s="188">
        <f t="shared" si="2"/>
        <v>5728.2290365522722</v>
      </c>
      <c r="K13" s="188">
        <f t="shared" si="2"/>
        <v>7095.65918206284</v>
      </c>
      <c r="L13" s="188">
        <f t="shared" ref="L13:P13" si="3">L11-L12</f>
        <v>8372.5995888645048</v>
      </c>
      <c r="M13" s="188">
        <f t="shared" si="3"/>
        <v>9584.1455727596604</v>
      </c>
      <c r="N13" s="188">
        <f t="shared" si="3"/>
        <v>10751.591681150403</v>
      </c>
      <c r="O13" s="188">
        <f t="shared" si="3"/>
        <v>11893.131945532677</v>
      </c>
      <c r="P13" s="188">
        <f t="shared" si="3"/>
        <v>13024.440121172604</v>
      </c>
      <c r="Q13" s="188">
        <f t="shared" si="2"/>
        <v>14159.151016884727</v>
      </c>
      <c r="R13" s="188">
        <f t="shared" si="2"/>
        <v>15309.260341238634</v>
      </c>
      <c r="S13" s="188">
        <f t="shared" si="2"/>
        <v>16485.457457593526</v>
      </c>
      <c r="T13" s="188">
        <f t="shared" si="2"/>
        <v>17697.402936895374</v>
      </c>
      <c r="U13" s="189">
        <f t="shared" si="2"/>
        <v>18953.960731562413</v>
      </c>
      <c r="V13" s="96">
        <f t="shared" ref="V13" si="4">V11-V12</f>
        <v>18953.960731562413</v>
      </c>
      <c r="W13" s="96">
        <v>1</v>
      </c>
      <c r="Y13" s="250">
        <f>(I13-I8)-(H13-H8)</f>
        <v>-347.92081883604715</v>
      </c>
      <c r="Z13" s="250">
        <f>(J13-J8)-(I13-I8)</f>
        <v>-305.06966218024536</v>
      </c>
      <c r="AA13" s="250">
        <f>(K13-K8)-(J13-J8)</f>
        <v>-270.82437397871763</v>
      </c>
      <c r="AB13" s="250">
        <f>(Q13-Q8)-(K13-K8)</f>
        <v>-1235.8401925401713</v>
      </c>
      <c r="AC13" s="250">
        <f>(R13-R8)-(Q13-Q8)</f>
        <v>-178.84199087795969</v>
      </c>
    </row>
    <row r="14" spans="1:29" x14ac:dyDescent="0.2">
      <c r="A14" s="8"/>
      <c r="B14" s="8"/>
      <c r="C14" s="8"/>
      <c r="D14" s="10"/>
      <c r="E14" s="79"/>
      <c r="F14" s="197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8"/>
      <c r="W14" s="79"/>
      <c r="Y14">
        <f>Y13*0.625</f>
        <v>-217.45051177252947</v>
      </c>
      <c r="Z14">
        <f t="shared" ref="Z14:AC14" si="5">Z13*0.625</f>
        <v>-190.66853886265335</v>
      </c>
      <c r="AA14">
        <f t="shared" si="5"/>
        <v>-169.26523373669852</v>
      </c>
      <c r="AB14">
        <f t="shared" si="5"/>
        <v>-772.40012033760706</v>
      </c>
      <c r="AC14">
        <f t="shared" si="5"/>
        <v>-111.77624429872481</v>
      </c>
    </row>
    <row r="15" spans="1:29" x14ac:dyDescent="0.2">
      <c r="A15" s="8"/>
      <c r="B15" s="18" t="s">
        <v>185</v>
      </c>
      <c r="C15" s="8"/>
      <c r="D15" s="10"/>
      <c r="E15" s="79"/>
      <c r="F15" s="197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8"/>
      <c r="W15" s="79"/>
    </row>
    <row r="16" spans="1:29" x14ac:dyDescent="0.2">
      <c r="A16" s="8"/>
      <c r="B16" s="253" t="s">
        <v>186</v>
      </c>
      <c r="C16" s="8"/>
      <c r="D16" s="10"/>
      <c r="E16" s="79"/>
      <c r="F16" s="197"/>
      <c r="G16" s="186">
        <f>'Secondary Inputs'!J13</f>
        <v>0</v>
      </c>
      <c r="H16" s="186">
        <f>'Secondary Inputs'!K13</f>
        <v>0</v>
      </c>
      <c r="I16" s="186">
        <f>'Secondary Inputs'!L13</f>
        <v>0</v>
      </c>
      <c r="J16" s="186">
        <f>'Secondary Inputs'!M13</f>
        <v>0</v>
      </c>
      <c r="K16" s="186">
        <f>'Secondary Inputs'!N13</f>
        <v>0</v>
      </c>
      <c r="L16" s="186">
        <f>'Secondary Inputs'!O13</f>
        <v>0</v>
      </c>
      <c r="M16" s="186">
        <f>'Secondary Inputs'!P13</f>
        <v>0</v>
      </c>
      <c r="N16" s="186">
        <f>'Secondary Inputs'!Q13</f>
        <v>0</v>
      </c>
      <c r="O16" s="186">
        <f>'Secondary Inputs'!R13</f>
        <v>0</v>
      </c>
      <c r="P16" s="186">
        <f>'Secondary Inputs'!S13</f>
        <v>0</v>
      </c>
      <c r="Q16" s="186">
        <f>'Secondary Inputs'!T13</f>
        <v>0</v>
      </c>
      <c r="R16" s="186">
        <f>'Secondary Inputs'!U13</f>
        <v>0</v>
      </c>
      <c r="S16" s="186">
        <f>'Secondary Inputs'!V13</f>
        <v>0</v>
      </c>
      <c r="T16" s="186">
        <f>'Secondary Inputs'!W13</f>
        <v>0</v>
      </c>
      <c r="U16" s="186">
        <f>'Secondary Inputs'!X13</f>
        <v>0</v>
      </c>
      <c r="V16" s="8"/>
      <c r="W16" s="79"/>
    </row>
    <row r="17" spans="1:29" ht="13.5" thickBot="1" x14ac:dyDescent="0.25">
      <c r="A17" s="8"/>
      <c r="B17" s="253" t="s">
        <v>191</v>
      </c>
      <c r="C17" s="8"/>
      <c r="D17" s="10"/>
      <c r="E17" s="79"/>
      <c r="F17" s="197"/>
      <c r="G17" s="195">
        <f>'Secondary Inputs'!J14</f>
        <v>0</v>
      </c>
      <c r="H17" s="195">
        <f>'Secondary Inputs'!K14</f>
        <v>0</v>
      </c>
      <c r="I17" s="195">
        <f>'Secondary Inputs'!L14</f>
        <v>0</v>
      </c>
      <c r="J17" s="195">
        <f>'Secondary Inputs'!M14</f>
        <v>0</v>
      </c>
      <c r="K17" s="195">
        <f>'Secondary Inputs'!N14</f>
        <v>0</v>
      </c>
      <c r="L17" s="195">
        <f>'Secondary Inputs'!O14</f>
        <v>0</v>
      </c>
      <c r="M17" s="195">
        <f>'Secondary Inputs'!P14</f>
        <v>0</v>
      </c>
      <c r="N17" s="195">
        <f>'Secondary Inputs'!Q14</f>
        <v>0</v>
      </c>
      <c r="O17" s="195">
        <f>'Secondary Inputs'!R14</f>
        <v>0</v>
      </c>
      <c r="P17" s="195">
        <f>'Secondary Inputs'!S14</f>
        <v>0</v>
      </c>
      <c r="Q17" s="195">
        <f>'Secondary Inputs'!T14</f>
        <v>0</v>
      </c>
      <c r="R17" s="195">
        <f>'Secondary Inputs'!U14</f>
        <v>0</v>
      </c>
      <c r="S17" s="195">
        <f>'Secondary Inputs'!V14</f>
        <v>0</v>
      </c>
      <c r="T17" s="195">
        <f>'Secondary Inputs'!W14</f>
        <v>0</v>
      </c>
      <c r="U17" s="195">
        <f>'Secondary Inputs'!X14</f>
        <v>0</v>
      </c>
      <c r="V17" s="8"/>
      <c r="W17" s="79"/>
    </row>
    <row r="18" spans="1:29" ht="13.5" thickBot="1" x14ac:dyDescent="0.25">
      <c r="A18" s="8"/>
      <c r="B18" s="23" t="s">
        <v>192</v>
      </c>
      <c r="C18" s="8"/>
      <c r="D18" s="10"/>
      <c r="E18" s="79"/>
      <c r="F18" s="197"/>
      <c r="G18" s="187">
        <f>SUM(G16:G17)</f>
        <v>0</v>
      </c>
      <c r="H18" s="187">
        <f t="shared" ref="H18:U18" si="6">SUM(H16:H17)</f>
        <v>0</v>
      </c>
      <c r="I18" s="187">
        <f t="shared" si="6"/>
        <v>0</v>
      </c>
      <c r="J18" s="187">
        <f t="shared" si="6"/>
        <v>0</v>
      </c>
      <c r="K18" s="187">
        <f t="shared" si="6"/>
        <v>0</v>
      </c>
      <c r="L18" s="187">
        <f t="shared" si="6"/>
        <v>0</v>
      </c>
      <c r="M18" s="187">
        <f t="shared" si="6"/>
        <v>0</v>
      </c>
      <c r="N18" s="187">
        <f t="shared" si="6"/>
        <v>0</v>
      </c>
      <c r="O18" s="187">
        <f t="shared" si="6"/>
        <v>0</v>
      </c>
      <c r="P18" s="187">
        <f t="shared" si="6"/>
        <v>0</v>
      </c>
      <c r="Q18" s="187">
        <f t="shared" si="6"/>
        <v>0</v>
      </c>
      <c r="R18" s="187">
        <f t="shared" si="6"/>
        <v>0</v>
      </c>
      <c r="S18" s="187">
        <f t="shared" si="6"/>
        <v>0</v>
      </c>
      <c r="T18" s="187">
        <f t="shared" si="6"/>
        <v>0</v>
      </c>
      <c r="U18" s="187">
        <f t="shared" si="6"/>
        <v>0</v>
      </c>
      <c r="V18" s="8"/>
      <c r="W18" s="79"/>
    </row>
    <row r="19" spans="1:29" x14ac:dyDescent="0.2">
      <c r="A19" s="8"/>
      <c r="B19" s="253"/>
      <c r="C19" s="8"/>
      <c r="D19" s="10"/>
      <c r="E19" s="79"/>
      <c r="F19" s="197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8"/>
      <c r="W19" s="79"/>
    </row>
    <row r="20" spans="1:29" x14ac:dyDescent="0.2">
      <c r="A20" s="8"/>
      <c r="B20" s="18" t="s">
        <v>193</v>
      </c>
      <c r="C20" s="18"/>
      <c r="D20" s="10"/>
      <c r="E20" s="79"/>
      <c r="F20" s="197"/>
      <c r="G20" s="199"/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8"/>
      <c r="W20" s="79"/>
    </row>
    <row r="21" spans="1:29" x14ac:dyDescent="0.2">
      <c r="A21" s="8"/>
      <c r="B21" s="253" t="s">
        <v>196</v>
      </c>
      <c r="C21" s="50"/>
      <c r="D21" s="25" t="s">
        <v>18</v>
      </c>
      <c r="E21" s="151"/>
      <c r="F21" s="194"/>
      <c r="G21" s="186">
        <f>IF('Secondary Inputs'!J23=0,0,-'Secondary Inputs'!J23)</f>
        <v>-2069</v>
      </c>
      <c r="H21" s="186">
        <f>IF('Secondary Inputs'!K23=0,0,-'Secondary Inputs'!K23)</f>
        <v>-2131.0700000000002</v>
      </c>
      <c r="I21" s="186">
        <f>IF('Secondary Inputs'!L23=0,0,-'Secondary Inputs'!L23)</f>
        <v>-2195.0021000000002</v>
      </c>
      <c r="J21" s="186">
        <f>IF('Secondary Inputs'!M23=0,0,-'Secondary Inputs'!M23)</f>
        <v>-2260.852163</v>
      </c>
      <c r="K21" s="186">
        <f>IF('Secondary Inputs'!N23=0,0,-'Secondary Inputs'!N23)</f>
        <v>-2328.6777278899999</v>
      </c>
      <c r="L21" s="186">
        <f>IF('Secondary Inputs'!O23=0,0,-'Secondary Inputs'!O23)</f>
        <v>-2398.5380597266999</v>
      </c>
      <c r="M21" s="186">
        <f>IF('Secondary Inputs'!P23=0,0,-'Secondary Inputs'!P23)</f>
        <v>-2470.4942015185011</v>
      </c>
      <c r="N21" s="186">
        <f>IF('Secondary Inputs'!Q23=0,0,-'Secondary Inputs'!Q23)</f>
        <v>-2544.6090275640563</v>
      </c>
      <c r="O21" s="186">
        <f>IF('Secondary Inputs'!R23=0,0,-'Secondary Inputs'!R23)</f>
        <v>-2620.9472983909782</v>
      </c>
      <c r="P21" s="186">
        <f>IF('Secondary Inputs'!S23=0,0,-'Secondary Inputs'!S23)</f>
        <v>-2699.5757173427078</v>
      </c>
      <c r="Q21" s="186">
        <f>IF('Secondary Inputs'!T23=0,0,-'Secondary Inputs'!T23)</f>
        <v>-2780.5629888629892</v>
      </c>
      <c r="R21" s="186">
        <f>IF('Secondary Inputs'!U23=0,0,-'Secondary Inputs'!U23)</f>
        <v>-2863.979878528879</v>
      </c>
      <c r="S21" s="186">
        <f>IF('Secondary Inputs'!V23=0,0,-'Secondary Inputs'!V23)</f>
        <v>-2949.8992748847454</v>
      </c>
      <c r="T21" s="186">
        <f>IF('Secondary Inputs'!W23=0,0,-'Secondary Inputs'!W23)</f>
        <v>-3038.3962531312877</v>
      </c>
      <c r="U21" s="186">
        <f>IF('Secondary Inputs'!X23=0,0,-'Secondary Inputs'!X23)</f>
        <v>-3129.5481407252264</v>
      </c>
      <c r="V21" s="8"/>
      <c r="W21" s="80"/>
    </row>
    <row r="22" spans="1:29" hidden="1" x14ac:dyDescent="0.2">
      <c r="A22" s="8"/>
      <c r="B22" s="253" t="s">
        <v>197</v>
      </c>
      <c r="C22" s="50"/>
      <c r="D22" s="25" t="s">
        <v>18</v>
      </c>
      <c r="E22" s="151"/>
      <c r="F22" s="194"/>
      <c r="G22" s="186">
        <f>IF(OR(G3=($D$73+3),G3&gt;($D$73+3)),-G6*'Common NPV parameters'!$F$13,0)</f>
        <v>0</v>
      </c>
      <c r="H22" s="186">
        <f>IF(OR(H3=($D$73+3),H3&gt;($D$73+3)),-H6*'Common NPV parameters'!$F$13,0)</f>
        <v>0</v>
      </c>
      <c r="I22" s="186">
        <f>IF(OR(I3=($D$73+3),I3&gt;($D$73+3)),-I6*'Common NPV parameters'!$F$13,0)</f>
        <v>0</v>
      </c>
      <c r="J22" s="186">
        <f>IF(OR(J3=($D$73+3),J3&gt;($D$73+3)),-J6*'Common NPV parameters'!$F$13,0)</f>
        <v>0</v>
      </c>
      <c r="K22" s="186">
        <f>IF(OR(K3=($D$73+3),K3&gt;($D$73+3)),-K6*'Common NPV parameters'!$F$13,0)</f>
        <v>0</v>
      </c>
      <c r="L22" s="186">
        <f>IF(OR(L3=($D$73+3),L3&gt;($D$73+3)),-L6*'Common NPV parameters'!$F$13,0)</f>
        <v>0</v>
      </c>
      <c r="M22" s="186">
        <f>IF(OR(M3=($D$73+3),M3&gt;($D$73+3)),-M6*'Common NPV parameters'!$F$13,0)</f>
        <v>0</v>
      </c>
      <c r="N22" s="186">
        <f>IF(OR(N3=($D$73+3),N3&gt;($D$73+3)),-N6*'Common NPV parameters'!$F$13,0)</f>
        <v>0</v>
      </c>
      <c r="O22" s="186">
        <f>IF(OR(O3=($D$73+3),O3&gt;($D$73+3)),-O6*'Common NPV parameters'!$F$13,0)</f>
        <v>0</v>
      </c>
      <c r="P22" s="186">
        <f>IF(OR(P3=($D$73+3),P3&gt;($D$73+3)),-P6*'Common NPV parameters'!$F$13,0)</f>
        <v>0</v>
      </c>
      <c r="Q22" s="186">
        <f>IF(OR(Q3=($D$73+3),Q3&gt;($D$73+3)),-Q6*'Common NPV parameters'!$F$13,0)</f>
        <v>0</v>
      </c>
      <c r="R22" s="186">
        <f>IF(OR(R3=($D$73+3),R3&gt;($D$73+3)),-R6*'Common NPV parameters'!$F$13,0)</f>
        <v>0</v>
      </c>
      <c r="S22" s="186">
        <f>IF(OR(S3=($D$73+3),S3&gt;($D$73+3)),-S6*'Common NPV parameters'!$F$13,0)</f>
        <v>0</v>
      </c>
      <c r="T22" s="186">
        <f>IF(OR(T3=($D$73+3),T3&gt;($D$73+3)),-T6*'Common NPV parameters'!$F$13,0)</f>
        <v>0</v>
      </c>
      <c r="U22" s="186">
        <f>IF(OR(U3=($D$73+3),U3&gt;($D$73+3)),-U6*'Common NPV parameters'!$F$13,0)</f>
        <v>0</v>
      </c>
      <c r="V22" s="8"/>
      <c r="W22" s="80"/>
    </row>
    <row r="23" spans="1:29" x14ac:dyDescent="0.2">
      <c r="A23" s="8"/>
      <c r="B23" s="146" t="s">
        <v>85</v>
      </c>
      <c r="C23" s="146"/>
      <c r="D23" s="25" t="s">
        <v>18</v>
      </c>
      <c r="E23" s="151"/>
      <c r="F23" s="194"/>
      <c r="G23" s="186">
        <f>IF(OR(G3=$D$73,G3=$D$73+1,G3=$D$73-1),((-$D$74*'Common NPV parameters'!$F$11))/3,"")</f>
        <v>-737.44594563945532</v>
      </c>
      <c r="H23" s="186">
        <f>IF(OR(H3=$D$73,H3=$D$73+1,H3=$D$73-1),((-$D$74*'Common NPV parameters'!$F$11))/3,"")</f>
        <v>-737.44594563945532</v>
      </c>
      <c r="I23" s="186" t="str">
        <f>IF(OR(I3=$D$73,I3=$D$73+1,I3=$D$73-1),((-$D$74*'Common NPV parameters'!$F$11))/3,"")</f>
        <v/>
      </c>
      <c r="J23" s="186" t="str">
        <f>IF(OR(J3=$D$73,J3=$D$73+1,J3=$D$73-1),((-$D$74*'Common NPV parameters'!$F$11))/3,"")</f>
        <v/>
      </c>
      <c r="K23" s="186" t="str">
        <f>IF(OR(K3=$D$73,K3=$D$73+1,K3=$D$73-1),((-$D$74*'Common NPV parameters'!$F$11))/3,"")</f>
        <v/>
      </c>
      <c r="L23" s="186" t="str">
        <f>IF(OR(L3=$D$73,L3=$D$73+1,L3=$D$73-1),((-$D$74*'Common NPV parameters'!$F$11))/3,"")</f>
        <v/>
      </c>
      <c r="M23" s="186" t="str">
        <f>IF(OR(M3=$D$73,M3=$D$73+1,M3=$D$73-1),((-$D$74*'Common NPV parameters'!$F$11))/3,"")</f>
        <v/>
      </c>
      <c r="N23" s="186" t="str">
        <f>IF(OR(N3=$D$73,N3=$D$73+1,N3=$D$73-1),((-$D$74*'Common NPV parameters'!$F$11))/3,"")</f>
        <v/>
      </c>
      <c r="O23" s="186" t="str">
        <f>IF(OR(O3=$D$73,O3=$D$73+1,O3=$D$73-1),((-$D$74*'Common NPV parameters'!$F$11))/3,"")</f>
        <v/>
      </c>
      <c r="P23" s="186" t="str">
        <f>IF(OR(P3=$D$73,P3=$D$73+1,P3=$D$73-1),((-$D$74*'Common NPV parameters'!$F$11))/3,"")</f>
        <v/>
      </c>
      <c r="Q23" s="186" t="str">
        <f>IF(OR(Q3=$D$73,Q3=$D$73+1,Q3=$D$73-1),((-$D$74*'Common NPV parameters'!$F$11))/3,"")</f>
        <v/>
      </c>
      <c r="R23" s="186" t="str">
        <f>IF(OR(R3=$D$73,R3=$D$73+1,R3=$D$73-1),((-$D$74*'Common NPV parameters'!$F$11))/3,"")</f>
        <v/>
      </c>
      <c r="S23" s="186" t="str">
        <f>IF(OR(S3=$D$73,S3=$D$73+1,S3=$D$73-1),((-$D$74*'Common NPV parameters'!$F$11))/3,"")</f>
        <v/>
      </c>
      <c r="T23" s="186" t="str">
        <f>IF(OR(T3=$D$73,T3=$D$73+1,T3=$D$73-1),((-$D$74*'Common NPV parameters'!$F$11))/3,"")</f>
        <v/>
      </c>
      <c r="U23" s="186" t="str">
        <f>IF(OR(U3=$D$73,U3=$D$73+1,U3=$D$73-1),((-$D$74*'Common NPV parameters'!$F$11))/3,"")</f>
        <v/>
      </c>
      <c r="V23" s="8"/>
      <c r="W23" s="79"/>
      <c r="X23" s="152"/>
      <c r="Y23">
        <f>I8*-0.35</f>
        <v>-1481.7623760682382</v>
      </c>
      <c r="Z23">
        <f>J8*-0.35</f>
        <v>-2109.2183849834678</v>
      </c>
      <c r="AA23">
        <f>K8*-0.35</f>
        <v>-2682.6074668047177</v>
      </c>
      <c r="AB23">
        <f t="shared" ref="AB23" si="7">Q8*-0.35</f>
        <v>-5587.3736763814377</v>
      </c>
    </row>
    <row r="24" spans="1:29" x14ac:dyDescent="0.2">
      <c r="A24" s="8"/>
      <c r="B24" s="146" t="s">
        <v>83</v>
      </c>
      <c r="C24" s="146"/>
      <c r="D24" s="25" t="s">
        <v>18</v>
      </c>
      <c r="E24" s="151"/>
      <c r="F24" s="194"/>
      <c r="G24" s="186">
        <f>-G6*'Common NPV parameters'!$F$12</f>
        <v>-567</v>
      </c>
      <c r="H24" s="186">
        <f>-H6*'Common NPV parameters'!$F$12</f>
        <v>-602.51820824409253</v>
      </c>
      <c r="I24" s="186">
        <f>-I6*'Common NPV parameters'!$F$12</f>
        <v>-640.26136025691642</v>
      </c>
      <c r="J24" s="186">
        <f>-J6*'Common NPV parameters'!$F$12</f>
        <v>-680.36883172825878</v>
      </c>
      <c r="K24" s="186">
        <f>-K6*'Common NPV parameters'!$F$12</f>
        <v>-722.98872916761377</v>
      </c>
      <c r="L24" s="186">
        <f>-L6*'Common NPV parameters'!$F$12</f>
        <v>-768.27843682318189</v>
      </c>
      <c r="M24" s="186">
        <f>-M6*'Common NPV parameters'!$F$12</f>
        <v>-816.40519786115647</v>
      </c>
      <c r="N24" s="186">
        <f>-N6*'Common NPV parameters'!$F$12</f>
        <v>-867.54673195144244</v>
      </c>
      <c r="O24" s="186">
        <f>-O6*'Common NPV parameters'!$F$12</f>
        <v>-921.89189154039002</v>
      </c>
      <c r="P24" s="186">
        <f>-P6*'Common NPV parameters'!$F$12</f>
        <v>-979.64135923399124</v>
      </c>
      <c r="Q24" s="186">
        <f>-Q6*'Common NPV parameters'!$F$12</f>
        <v>-1041.0083888667934</v>
      </c>
      <c r="R24" s="186">
        <f>-R6*'Common NPV parameters'!$F$12</f>
        <v>-1106.2195929931038</v>
      </c>
      <c r="S24" s="186">
        <f>-S6*'Common NPV parameters'!$F$12</f>
        <v>-1175.5157797084908</v>
      </c>
      <c r="T24" s="186">
        <f>-T6*'Common NPV parameters'!$F$12</f>
        <v>-1249.1528418917412</v>
      </c>
      <c r="U24" s="186">
        <f>-U6*'Common NPV parameters'!$F$12</f>
        <v>-1327.4027021510194</v>
      </c>
      <c r="V24" s="8"/>
      <c r="W24" s="79"/>
      <c r="Y24">
        <f>I8*0.2</f>
        <v>846.72135775327899</v>
      </c>
      <c r="Z24">
        <f>J8*0.2</f>
        <v>1205.2676485619818</v>
      </c>
      <c r="AA24">
        <f>K8*0.2</f>
        <v>1532.9185524598388</v>
      </c>
      <c r="AB24">
        <f t="shared" ref="AB24" si="8">Q8*0.2</f>
        <v>3192.7849579322506</v>
      </c>
    </row>
    <row r="25" spans="1:29" ht="13.5" thickBot="1" x14ac:dyDescent="0.25">
      <c r="A25" s="8"/>
      <c r="B25" s="146" t="s">
        <v>84</v>
      </c>
      <c r="C25" s="146"/>
      <c r="D25" s="25" t="s">
        <v>18</v>
      </c>
      <c r="E25" s="151"/>
      <c r="F25" s="194"/>
      <c r="G25" s="186">
        <f>-'Secondary Inputs'!J29</f>
        <v>0</v>
      </c>
      <c r="H25" s="186">
        <f>-'Secondary Inputs'!K29</f>
        <v>0</v>
      </c>
      <c r="I25" s="186">
        <f>-'Secondary Inputs'!L29</f>
        <v>0</v>
      </c>
      <c r="J25" s="186">
        <f>-'Secondary Inputs'!M29</f>
        <v>0</v>
      </c>
      <c r="K25" s="186">
        <f>-'Secondary Inputs'!N29</f>
        <v>0</v>
      </c>
      <c r="L25" s="186">
        <f>-'Secondary Inputs'!O29</f>
        <v>0</v>
      </c>
      <c r="M25" s="186">
        <f>-'Secondary Inputs'!P29</f>
        <v>0</v>
      </c>
      <c r="N25" s="186">
        <f>-'Secondary Inputs'!Q29</f>
        <v>0</v>
      </c>
      <c r="O25" s="186">
        <f>-'Secondary Inputs'!R29</f>
        <v>0</v>
      </c>
      <c r="P25" s="186">
        <f>-'Secondary Inputs'!S29</f>
        <v>0</v>
      </c>
      <c r="Q25" s="186">
        <f>-'Secondary Inputs'!T29</f>
        <v>0</v>
      </c>
      <c r="R25" s="186">
        <f>-'Secondary Inputs'!U29</f>
        <v>0</v>
      </c>
      <c r="S25" s="186">
        <f>-'Secondary Inputs'!V29</f>
        <v>0</v>
      </c>
      <c r="T25" s="186">
        <f>-'Secondary Inputs'!W29</f>
        <v>0</v>
      </c>
      <c r="U25" s="186">
        <f>-'Secondary Inputs'!X29</f>
        <v>0</v>
      </c>
      <c r="V25" s="8"/>
      <c r="W25" s="79"/>
    </row>
    <row r="26" spans="1:29" s="74" customFormat="1" ht="13.5" thickBot="1" x14ac:dyDescent="0.25">
      <c r="A26" s="18"/>
      <c r="B26" s="23" t="s">
        <v>86</v>
      </c>
      <c r="C26" s="23"/>
      <c r="D26" s="7" t="s">
        <v>18</v>
      </c>
      <c r="E26" s="150"/>
      <c r="F26" s="196"/>
      <c r="G26" s="187">
        <f t="shared" ref="G26:U26" si="9">SUM(G21:G25)</f>
        <v>-3373.4459456394552</v>
      </c>
      <c r="H26" s="188">
        <f t="shared" si="9"/>
        <v>-3471.0341538835478</v>
      </c>
      <c r="I26" s="188">
        <f t="shared" si="9"/>
        <v>-2835.2634602569165</v>
      </c>
      <c r="J26" s="188">
        <f t="shared" si="9"/>
        <v>-2941.220994728259</v>
      </c>
      <c r="K26" s="188">
        <f t="shared" si="9"/>
        <v>-3051.6664570576136</v>
      </c>
      <c r="L26" s="188">
        <f t="shared" ref="L26:P26" si="10">SUM(L21:L25)</f>
        <v>-3166.8164965498818</v>
      </c>
      <c r="M26" s="188">
        <f t="shared" si="10"/>
        <v>-3286.8993993796576</v>
      </c>
      <c r="N26" s="188">
        <f t="shared" si="10"/>
        <v>-3412.1557595154986</v>
      </c>
      <c r="O26" s="188">
        <f t="shared" si="10"/>
        <v>-3542.8391899313683</v>
      </c>
      <c r="P26" s="188">
        <f t="shared" si="10"/>
        <v>-3679.2170765766991</v>
      </c>
      <c r="Q26" s="188">
        <f t="shared" si="9"/>
        <v>-3821.5713777297824</v>
      </c>
      <c r="R26" s="188">
        <f t="shared" si="9"/>
        <v>-3970.1994715219826</v>
      </c>
      <c r="S26" s="188">
        <f t="shared" si="9"/>
        <v>-4125.4150545932362</v>
      </c>
      <c r="T26" s="188">
        <f t="shared" si="9"/>
        <v>-4287.5490950230287</v>
      </c>
      <c r="U26" s="188">
        <f t="shared" si="9"/>
        <v>-4456.9508428762456</v>
      </c>
      <c r="V26" s="18"/>
      <c r="W26" s="150"/>
      <c r="Y26" s="251">
        <f>Y23-X23</f>
        <v>-1481.7623760682382</v>
      </c>
      <c r="Z26" s="251">
        <f t="shared" ref="Z26:AB26" si="11">Z23-Y23</f>
        <v>-627.45600891522963</v>
      </c>
      <c r="AA26" s="251">
        <f t="shared" si="11"/>
        <v>-573.38908182124987</v>
      </c>
      <c r="AB26" s="251">
        <f t="shared" si="11"/>
        <v>-2904.76620957672</v>
      </c>
      <c r="AC26" s="251">
        <f t="shared" ref="AC26" si="12">AC23-AB23</f>
        <v>5587.3736763814377</v>
      </c>
    </row>
    <row r="27" spans="1:29" hidden="1" x14ac:dyDescent="0.2">
      <c r="A27" s="8"/>
      <c r="B27" s="50" t="s">
        <v>87</v>
      </c>
      <c r="C27" s="50"/>
      <c r="D27" s="25" t="s">
        <v>18</v>
      </c>
      <c r="E27" s="151"/>
      <c r="F27" s="194"/>
      <c r="G27" s="186">
        <f>-G7*'Common NPV parameters'!$F$13</f>
        <v>0</v>
      </c>
      <c r="H27" s="186">
        <f>-H7*'Common NPV parameters'!$F$13</f>
        <v>0</v>
      </c>
      <c r="I27" s="186">
        <f>-I7*'Common NPV parameters'!$F$13</f>
        <v>0</v>
      </c>
      <c r="J27" s="186">
        <f>-J7*'Common NPV parameters'!$F$13</f>
        <v>0</v>
      </c>
      <c r="K27" s="186">
        <f>-K7*'Common NPV parameters'!$F$13</f>
        <v>0</v>
      </c>
      <c r="L27" s="186">
        <f>-L7*'Common NPV parameters'!$F$13</f>
        <v>0</v>
      </c>
      <c r="M27" s="186">
        <f>-M7*'Common NPV parameters'!$F$13</f>
        <v>0</v>
      </c>
      <c r="N27" s="186">
        <f>-N7*'Common NPV parameters'!$F$13</f>
        <v>0</v>
      </c>
      <c r="O27" s="186">
        <f>-O7*'Common NPV parameters'!$F$13</f>
        <v>0</v>
      </c>
      <c r="P27" s="186">
        <f>-P7*'Common NPV parameters'!$F$13</f>
        <v>0</v>
      </c>
      <c r="Q27" s="186">
        <f>-Q7*'Common NPV parameters'!$F$13</f>
        <v>0</v>
      </c>
      <c r="R27" s="186">
        <f>-R7*'Common NPV parameters'!$F$13</f>
        <v>0</v>
      </c>
      <c r="S27" s="186">
        <f>-S7*'Common NPV parameters'!$F$13</f>
        <v>0</v>
      </c>
      <c r="T27" s="186">
        <f>-T7*'Common NPV parameters'!$F$13</f>
        <v>0</v>
      </c>
      <c r="U27" s="186">
        <f>-U7*'Common NPV parameters'!$F$13</f>
        <v>0</v>
      </c>
      <c r="V27" s="8"/>
      <c r="W27" s="79"/>
      <c r="Y27">
        <f>Y24-X24</f>
        <v>846.72135775327899</v>
      </c>
      <c r="Z27">
        <f t="shared" ref="Z27:AB27" si="13">Z24-Y24</f>
        <v>358.54629080870279</v>
      </c>
      <c r="AA27">
        <f t="shared" si="13"/>
        <v>327.65090389785701</v>
      </c>
      <c r="AB27">
        <f t="shared" si="13"/>
        <v>1659.8664054724118</v>
      </c>
      <c r="AC27">
        <f t="shared" ref="AC27" si="14">AC24-AB24</f>
        <v>-3192.7849579322506</v>
      </c>
    </row>
    <row r="28" spans="1:29" ht="13.5" thickBot="1" x14ac:dyDescent="0.25">
      <c r="A28" s="8"/>
      <c r="B28" s="146" t="s">
        <v>88</v>
      </c>
      <c r="C28" s="146"/>
      <c r="D28" s="25" t="s">
        <v>18</v>
      </c>
      <c r="E28" s="151"/>
      <c r="F28" s="194"/>
      <c r="G28" s="186">
        <f>-G7*'Common NPV parameters'!$F$12</f>
        <v>-567</v>
      </c>
      <c r="H28" s="186">
        <f>-H7*'Common NPV parameters'!$F$12</f>
        <v>-467.97530737405242</v>
      </c>
      <c r="I28" s="186">
        <f>-I7*'Common NPV parameters'!$F$12</f>
        <v>-386.2449529309327</v>
      </c>
      <c r="J28" s="186">
        <f>-J7*'Common NPV parameters'!$F$12</f>
        <v>-318.78853715966432</v>
      </c>
      <c r="K28" s="186">
        <f>-K7*'Common NPV parameters'!$F$12</f>
        <v>-263.11316342966217</v>
      </c>
      <c r="L28" s="186">
        <f>-L7*'Common NPV parameters'!$F$12</f>
        <v>-217.16131134066219</v>
      </c>
      <c r="M28" s="186">
        <f>-M7*'Common NPV parameters'!$F$12</f>
        <v>-179.23479969029754</v>
      </c>
      <c r="N28" s="186">
        <f>-N7*'Common NPV parameters'!$F$12</f>
        <v>-147.93202906030635</v>
      </c>
      <c r="O28" s="186">
        <f>-O7*'Common NPV parameters'!$F$12</f>
        <v>-122.09618477947818</v>
      </c>
      <c r="P28" s="186">
        <f>-P7*'Common NPV parameters'!$F$12</f>
        <v>-100.77248606944516</v>
      </c>
      <c r="Q28" s="186">
        <f>-Q7*'Common NPV parameters'!$F$12</f>
        <v>-83.17290148711821</v>
      </c>
      <c r="R28" s="186">
        <f>-R7*'Common NPV parameters'!$F$12</f>
        <v>-68.64702669951663</v>
      </c>
      <c r="S28" s="186">
        <f>-S7*'Common NPV parameters'!$F$12</f>
        <v>-56.658048359825543</v>
      </c>
      <c r="T28" s="186">
        <f>-T7*'Common NPV parameters'!$F$12</f>
        <v>-46.762905813762409</v>
      </c>
      <c r="U28" s="186">
        <f>-U7*'Common NPV parameters'!$F$12</f>
        <v>-38.595917498940622</v>
      </c>
      <c r="V28" s="8"/>
      <c r="W28" s="79"/>
    </row>
    <row r="29" spans="1:29" ht="13.5" thickBot="1" x14ac:dyDescent="0.25">
      <c r="A29" s="8"/>
      <c r="B29" s="23" t="s">
        <v>89</v>
      </c>
      <c r="C29" s="23"/>
      <c r="D29" s="7" t="s">
        <v>18</v>
      </c>
      <c r="E29" s="150"/>
      <c r="F29" s="196"/>
      <c r="G29" s="187">
        <f t="shared" ref="G29:U29" si="15">SUM(G27:G28)</f>
        <v>-567</v>
      </c>
      <c r="H29" s="188">
        <f t="shared" si="15"/>
        <v>-467.97530737405242</v>
      </c>
      <c r="I29" s="188">
        <f t="shared" si="15"/>
        <v>-386.2449529309327</v>
      </c>
      <c r="J29" s="188">
        <f t="shared" si="15"/>
        <v>-318.78853715966432</v>
      </c>
      <c r="K29" s="188">
        <f t="shared" si="15"/>
        <v>-263.11316342966217</v>
      </c>
      <c r="L29" s="188">
        <f t="shared" ref="L29:P29" si="16">SUM(L27:L28)</f>
        <v>-217.16131134066219</v>
      </c>
      <c r="M29" s="188">
        <f t="shared" si="16"/>
        <v>-179.23479969029754</v>
      </c>
      <c r="N29" s="188">
        <f t="shared" si="16"/>
        <v>-147.93202906030635</v>
      </c>
      <c r="O29" s="188">
        <f t="shared" si="16"/>
        <v>-122.09618477947818</v>
      </c>
      <c r="P29" s="188">
        <f t="shared" si="16"/>
        <v>-100.77248606944516</v>
      </c>
      <c r="Q29" s="188">
        <f t="shared" si="15"/>
        <v>-83.17290148711821</v>
      </c>
      <c r="R29" s="188">
        <f t="shared" si="15"/>
        <v>-68.64702669951663</v>
      </c>
      <c r="S29" s="188">
        <f t="shared" si="15"/>
        <v>-56.658048359825543</v>
      </c>
      <c r="T29" s="188">
        <f t="shared" si="15"/>
        <v>-46.762905813762409</v>
      </c>
      <c r="U29" s="188">
        <f t="shared" si="15"/>
        <v>-38.595917498940622</v>
      </c>
      <c r="V29" s="8"/>
      <c r="W29" s="79"/>
      <c r="Y29" s="251">
        <f>Y27+Y26+Z14</f>
        <v>-825.70955717761251</v>
      </c>
      <c r="Z29" s="251">
        <f t="shared" ref="Z29:AC29" si="17">Z27+Z26+AA14</f>
        <v>-438.17495184322536</v>
      </c>
      <c r="AA29" s="251">
        <f t="shared" si="17"/>
        <v>-1018.1382982609999</v>
      </c>
      <c r="AB29" s="251">
        <f t="shared" si="17"/>
        <v>-1356.6760484030331</v>
      </c>
      <c r="AC29" s="251">
        <f t="shared" si="17"/>
        <v>2394.5887184491871</v>
      </c>
    </row>
    <row r="30" spans="1:29" ht="13.5" thickBot="1" x14ac:dyDescent="0.25">
      <c r="A30" s="8"/>
      <c r="B30" s="22" t="s">
        <v>90</v>
      </c>
      <c r="C30" s="22"/>
      <c r="D30" s="7" t="s">
        <v>18</v>
      </c>
      <c r="E30" s="150"/>
      <c r="F30" s="196"/>
      <c r="G30" s="187">
        <f t="shared" ref="G30:U30" si="18">G26-G29</f>
        <v>-2806.4459456394552</v>
      </c>
      <c r="H30" s="188">
        <f t="shared" si="18"/>
        <v>-3003.0588465094952</v>
      </c>
      <c r="I30" s="188">
        <f t="shared" si="18"/>
        <v>-2449.0185073259836</v>
      </c>
      <c r="J30" s="188">
        <f t="shared" si="18"/>
        <v>-2622.4324575685946</v>
      </c>
      <c r="K30" s="188">
        <f t="shared" si="18"/>
        <v>-2788.5532936279515</v>
      </c>
      <c r="L30" s="188">
        <f t="shared" ref="L30:P30" si="19">L26-L29</f>
        <v>-2949.6551852092198</v>
      </c>
      <c r="M30" s="188">
        <f t="shared" si="19"/>
        <v>-3107.6645996893599</v>
      </c>
      <c r="N30" s="188">
        <f t="shared" si="19"/>
        <v>-3264.2237304551923</v>
      </c>
      <c r="O30" s="188">
        <f t="shared" si="19"/>
        <v>-3420.74300515189</v>
      </c>
      <c r="P30" s="188">
        <f t="shared" si="19"/>
        <v>-3578.4445905072539</v>
      </c>
      <c r="Q30" s="188">
        <f t="shared" si="18"/>
        <v>-3738.3984762426644</v>
      </c>
      <c r="R30" s="188">
        <f t="shared" si="18"/>
        <v>-3901.552444822466</v>
      </c>
      <c r="S30" s="188">
        <f t="shared" si="18"/>
        <v>-4068.7570062334107</v>
      </c>
      <c r="T30" s="188">
        <f t="shared" si="18"/>
        <v>-4240.786189209266</v>
      </c>
      <c r="U30" s="188">
        <f t="shared" si="18"/>
        <v>-4418.3549253773053</v>
      </c>
      <c r="V30" s="8"/>
      <c r="W30" s="79"/>
    </row>
    <row r="31" spans="1:29" x14ac:dyDescent="0.2">
      <c r="A31" s="8"/>
      <c r="B31" s="8"/>
      <c r="C31" s="8"/>
      <c r="D31" s="10"/>
      <c r="E31" s="79"/>
      <c r="F31" s="197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8"/>
      <c r="W31" s="79"/>
    </row>
    <row r="32" spans="1:29" x14ac:dyDescent="0.2">
      <c r="A32" s="8"/>
      <c r="B32" s="18" t="s">
        <v>10</v>
      </c>
      <c r="C32" s="18"/>
      <c r="E32" s="79"/>
      <c r="F32" s="197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8"/>
      <c r="W32" s="79"/>
    </row>
    <row r="33" spans="1:25" x14ac:dyDescent="0.2">
      <c r="A33" s="8"/>
      <c r="B33" s="50" t="s">
        <v>95</v>
      </c>
      <c r="C33" s="50"/>
      <c r="D33" s="25" t="s">
        <v>18</v>
      </c>
      <c r="E33" s="151"/>
      <c r="F33" s="194"/>
      <c r="G33" s="201">
        <f>G11+G26+G18</f>
        <v>4942.5540543605448</v>
      </c>
      <c r="H33" s="201">
        <f t="shared" ref="H33:U33" si="20">H11+H26+H18</f>
        <v>5365.89956702981</v>
      </c>
      <c r="I33" s="201">
        <f t="shared" si="20"/>
        <v>6555.2364901778583</v>
      </c>
      <c r="J33" s="201">
        <f>J11+J26+J18</f>
        <v>7037.5218706195374</v>
      </c>
      <c r="K33" s="201">
        <f>K11+K26+K18</f>
        <v>7552.1682374007214</v>
      </c>
      <c r="L33" s="201">
        <f t="shared" si="20"/>
        <v>8101.2672435234526</v>
      </c>
      <c r="M33" s="201">
        <f t="shared" si="20"/>
        <v>8687.0435025839706</v>
      </c>
      <c r="N33" s="201">
        <f t="shared" si="20"/>
        <v>9311.8629757723229</v>
      </c>
      <c r="O33" s="201">
        <f t="shared" si="20"/>
        <v>9978.2418859943518</v>
      </c>
      <c r="P33" s="201">
        <f t="shared" si="20"/>
        <v>10688.856192188507</v>
      </c>
      <c r="Q33" s="201">
        <f>Q11+Q26+Q18</f>
        <v>11446.551658983188</v>
      </c>
      <c r="R33" s="201">
        <f t="shared" si="20"/>
        <v>12254.354559043541</v>
      </c>
      <c r="S33" s="201">
        <f t="shared" si="20"/>
        <v>13115.483047797963</v>
      </c>
      <c r="T33" s="201">
        <f t="shared" si="20"/>
        <v>14033.35925272251</v>
      </c>
      <c r="U33" s="201">
        <f t="shared" si="20"/>
        <v>15011.622122005374</v>
      </c>
      <c r="V33" s="8"/>
      <c r="W33" s="79"/>
    </row>
    <row r="34" spans="1:25" ht="13.5" thickBot="1" x14ac:dyDescent="0.25">
      <c r="A34" s="8"/>
      <c r="B34" s="50" t="s">
        <v>97</v>
      </c>
      <c r="C34" s="50"/>
      <c r="D34" s="25" t="s">
        <v>18</v>
      </c>
      <c r="E34" s="151"/>
      <c r="F34" s="194"/>
      <c r="G34" s="202">
        <f t="shared" ref="G34:U34" si="21">G12+G29</f>
        <v>6993</v>
      </c>
      <c r="H34" s="202">
        <f t="shared" si="21"/>
        <v>5771.6954576133139</v>
      </c>
      <c r="I34" s="202">
        <f t="shared" si="21"/>
        <v>4763.6877528148379</v>
      </c>
      <c r="J34" s="202">
        <f t="shared" si="21"/>
        <v>3931.7252916358598</v>
      </c>
      <c r="K34" s="202">
        <f t="shared" si="21"/>
        <v>3245.0623489658337</v>
      </c>
      <c r="L34" s="202">
        <f t="shared" ref="L34:P34" si="22">L12+L29</f>
        <v>2678.3228398681676</v>
      </c>
      <c r="M34" s="202">
        <f>M12+M29</f>
        <v>2210.5625295136697</v>
      </c>
      <c r="N34" s="202">
        <f t="shared" si="22"/>
        <v>1824.4950250771119</v>
      </c>
      <c r="O34" s="202">
        <f t="shared" si="22"/>
        <v>1505.8529456135645</v>
      </c>
      <c r="P34" s="202">
        <f t="shared" si="22"/>
        <v>1242.8606615231572</v>
      </c>
      <c r="Q34" s="202">
        <f t="shared" si="21"/>
        <v>1025.7991183411245</v>
      </c>
      <c r="R34" s="202">
        <f t="shared" si="21"/>
        <v>846.64666262737182</v>
      </c>
      <c r="S34" s="202">
        <f t="shared" si="21"/>
        <v>698.78259643784838</v>
      </c>
      <c r="T34" s="202">
        <f t="shared" si="21"/>
        <v>576.74250503640314</v>
      </c>
      <c r="U34" s="202">
        <f t="shared" si="21"/>
        <v>476.01631582026766</v>
      </c>
      <c r="V34" s="8"/>
      <c r="W34" s="79"/>
    </row>
    <row r="35" spans="1:25" ht="13.5" thickBot="1" x14ac:dyDescent="0.25">
      <c r="A35" s="8"/>
      <c r="B35" s="149" t="s">
        <v>96</v>
      </c>
      <c r="C35" s="149"/>
      <c r="D35" s="7" t="s">
        <v>18</v>
      </c>
      <c r="E35" s="150"/>
      <c r="F35" s="196"/>
      <c r="G35" s="187">
        <f>G33-G34</f>
        <v>-2050.4459456394552</v>
      </c>
      <c r="H35" s="187">
        <f t="shared" ref="H35:U35" si="23">H33-H34</f>
        <v>-405.79589058350393</v>
      </c>
      <c r="I35" s="187">
        <f t="shared" si="23"/>
        <v>1791.5487373630203</v>
      </c>
      <c r="J35" s="187">
        <f t="shared" si="23"/>
        <v>3105.7965789836776</v>
      </c>
      <c r="K35" s="187">
        <f t="shared" si="23"/>
        <v>4307.1058884348877</v>
      </c>
      <c r="L35" s="187">
        <f t="shared" si="23"/>
        <v>5422.944403655285</v>
      </c>
      <c r="M35" s="187">
        <f>M33-M34</f>
        <v>6476.4809730703009</v>
      </c>
      <c r="N35" s="187">
        <f t="shared" si="23"/>
        <v>7487.3679506952112</v>
      </c>
      <c r="O35" s="187">
        <f t="shared" si="23"/>
        <v>8472.388940380788</v>
      </c>
      <c r="P35" s="187">
        <f t="shared" si="23"/>
        <v>9445.9955306653501</v>
      </c>
      <c r="Q35" s="187">
        <f t="shared" si="23"/>
        <v>10420.752540642063</v>
      </c>
      <c r="R35" s="187">
        <f t="shared" si="23"/>
        <v>11407.707896416168</v>
      </c>
      <c r="S35" s="187">
        <f t="shared" si="23"/>
        <v>12416.700451360115</v>
      </c>
      <c r="T35" s="187">
        <f t="shared" si="23"/>
        <v>13456.616747686106</v>
      </c>
      <c r="U35" s="187">
        <f t="shared" si="23"/>
        <v>14535.605806185107</v>
      </c>
      <c r="V35" s="8"/>
      <c r="W35" s="79"/>
      <c r="Y35" s="164"/>
    </row>
    <row r="36" spans="1:25" x14ac:dyDescent="0.2">
      <c r="A36" s="8"/>
      <c r="B36" s="18"/>
      <c r="C36" s="18"/>
      <c r="D36" s="7"/>
      <c r="E36" s="150"/>
      <c r="F36" s="196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8"/>
      <c r="W36" s="79"/>
    </row>
    <row r="37" spans="1:25" x14ac:dyDescent="0.2">
      <c r="A37" s="8"/>
      <c r="B37" s="18" t="s">
        <v>194</v>
      </c>
      <c r="C37" s="18"/>
      <c r="D37" s="7" t="s">
        <v>18</v>
      </c>
      <c r="E37" s="7"/>
      <c r="F37" s="203"/>
      <c r="G37" s="186">
        <f>-G35*'Common NPV parameters'!$F$20</f>
        <v>512.6114864098638</v>
      </c>
      <c r="H37" s="186">
        <f>-H35*'Common NPV parameters'!$F$20</f>
        <v>101.44897264587598</v>
      </c>
      <c r="I37" s="186">
        <f>-I35*'Common NPV parameters'!$F$20</f>
        <v>-447.88718434075508</v>
      </c>
      <c r="J37" s="186">
        <f>-J35*'Common NPV parameters'!$F$20</f>
        <v>-776.4491447459194</v>
      </c>
      <c r="K37" s="186">
        <f>-K35*'Common NPV parameters'!$F$20</f>
        <v>-1076.7764721087219</v>
      </c>
      <c r="L37" s="186">
        <f>-L35*'Common NPV parameters'!$F$20</f>
        <v>-1355.7361009138212</v>
      </c>
      <c r="M37" s="186">
        <f>-M35*'Common NPV parameters'!$F$20</f>
        <v>-1619.1202432675752</v>
      </c>
      <c r="N37" s="186">
        <f>-N35*'Common NPV parameters'!$F$20</f>
        <v>-1871.8419876738028</v>
      </c>
      <c r="O37" s="186">
        <f>-O35*'Common NPV parameters'!$F$20</f>
        <v>-2118.097235095197</v>
      </c>
      <c r="P37" s="186">
        <f>-P35*'Common NPV parameters'!$F$20</f>
        <v>-2361.4988826663375</v>
      </c>
      <c r="Q37" s="186">
        <f>-Q35*'Common NPV parameters'!$F$20</f>
        <v>-2605.1881351605157</v>
      </c>
      <c r="R37" s="186">
        <f>-R35*'Common NPV parameters'!$F$20</f>
        <v>-2851.9269741040421</v>
      </c>
      <c r="S37" s="186">
        <f>-S35*'Common NPV parameters'!$F$20</f>
        <v>-3104.1751128400288</v>
      </c>
      <c r="T37" s="186">
        <f>-T35*'Common NPV parameters'!$F$20</f>
        <v>-3364.1541869215266</v>
      </c>
      <c r="U37" s="186">
        <f>-U35*'Common NPV parameters'!$F$20</f>
        <v>-3633.9014515462768</v>
      </c>
      <c r="V37" s="8"/>
      <c r="W37" s="79"/>
      <c r="X37" s="97"/>
    </row>
    <row r="38" spans="1:25" x14ac:dyDescent="0.2">
      <c r="A38" s="8"/>
      <c r="B38" s="8"/>
      <c r="C38" s="8"/>
      <c r="D38" s="10"/>
      <c r="E38" s="10"/>
      <c r="F38" s="204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8"/>
      <c r="W38" s="79"/>
      <c r="X38" s="97"/>
    </row>
    <row r="39" spans="1:25" x14ac:dyDescent="0.2">
      <c r="A39" s="8"/>
      <c r="B39" s="22" t="s">
        <v>195</v>
      </c>
      <c r="C39" s="22"/>
      <c r="D39" s="7" t="s">
        <v>18</v>
      </c>
      <c r="E39" s="7"/>
      <c r="F39" s="203"/>
      <c r="G39" s="186">
        <f>-'Secondary Inputs'!J32</f>
        <v>0</v>
      </c>
      <c r="H39" s="186">
        <f>-'Secondary Inputs'!K32</f>
        <v>0</v>
      </c>
      <c r="I39" s="186">
        <f>-'Secondary Inputs'!L32</f>
        <v>0</v>
      </c>
      <c r="J39" s="186">
        <f>-'Secondary Inputs'!M32</f>
        <v>0</v>
      </c>
      <c r="K39" s="186">
        <f>-'Secondary Inputs'!N32</f>
        <v>0</v>
      </c>
      <c r="L39" s="186">
        <f>-'Secondary Inputs'!O32</f>
        <v>0</v>
      </c>
      <c r="M39" s="186">
        <f>-'Secondary Inputs'!P32</f>
        <v>0</v>
      </c>
      <c r="N39" s="186">
        <f>-'Secondary Inputs'!Q32</f>
        <v>0</v>
      </c>
      <c r="O39" s="186">
        <f>-'Secondary Inputs'!R32</f>
        <v>0</v>
      </c>
      <c r="P39" s="186">
        <f>-'Secondary Inputs'!S32</f>
        <v>0</v>
      </c>
      <c r="Q39" s="186">
        <f>-'Secondary Inputs'!T32</f>
        <v>0</v>
      </c>
      <c r="R39" s="186">
        <f>-'Secondary Inputs'!U32</f>
        <v>0</v>
      </c>
      <c r="S39" s="186">
        <f>-'Secondary Inputs'!V32</f>
        <v>0</v>
      </c>
      <c r="T39" s="186">
        <f>-'Secondary Inputs'!W32</f>
        <v>0</v>
      </c>
      <c r="U39" s="186">
        <f>-'Secondary Inputs'!X32</f>
        <v>0</v>
      </c>
      <c r="V39" s="8"/>
      <c r="W39" s="79"/>
      <c r="X39" s="97"/>
      <c r="Y39" s="164"/>
    </row>
    <row r="40" spans="1:25" x14ac:dyDescent="0.2">
      <c r="A40" s="8"/>
      <c r="B40" s="22"/>
      <c r="C40" s="22"/>
      <c r="D40" s="7"/>
      <c r="E40" s="7"/>
      <c r="F40" s="203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8"/>
      <c r="W40" s="79"/>
      <c r="X40" s="97"/>
    </row>
    <row r="41" spans="1:25" x14ac:dyDescent="0.2">
      <c r="A41" s="8"/>
      <c r="B41" s="22" t="s">
        <v>107</v>
      </c>
      <c r="C41" s="22"/>
      <c r="D41" s="7" t="s">
        <v>18</v>
      </c>
      <c r="E41" s="7"/>
      <c r="F41" s="203"/>
      <c r="G41" s="186">
        <f>(G8-G13)*'Common NPV parameters'!$F$15</f>
        <v>0</v>
      </c>
      <c r="H41" s="186">
        <f>(H8-H13)*'Common NPV parameters'!$F$15</f>
        <v>0</v>
      </c>
      <c r="I41" s="186">
        <f>(I8-I13)*'Common NPV parameters'!$F$15</f>
        <v>0</v>
      </c>
      <c r="J41" s="186">
        <f>(J8-J13)*'Common NPV parameters'!$F$15</f>
        <v>0</v>
      </c>
      <c r="K41" s="186">
        <f>(K8-K13)*'Common NPV parameters'!$F$15</f>
        <v>0</v>
      </c>
      <c r="L41" s="186">
        <f>(L8-L13)*'Common NPV parameters'!$F$15</f>
        <v>0</v>
      </c>
      <c r="M41" s="186">
        <f>(M8-M13)*'Common NPV parameters'!$F$15</f>
        <v>0</v>
      </c>
      <c r="N41" s="186">
        <f>(N8-N13)*'Common NPV parameters'!$F$15</f>
        <v>0</v>
      </c>
      <c r="O41" s="186">
        <f>(O8-O13)*'Common NPV parameters'!$F$15</f>
        <v>0</v>
      </c>
      <c r="P41" s="186">
        <f>(P8-P13)*'Common NPV parameters'!$F$15</f>
        <v>0</v>
      </c>
      <c r="Q41" s="186">
        <f>(Q8-Q13)*'Common NPV parameters'!$F$15</f>
        <v>0</v>
      </c>
      <c r="R41" s="186">
        <f>(R8-R13)*'Common NPV parameters'!$F$15</f>
        <v>0</v>
      </c>
      <c r="S41" s="186">
        <f>(S8-S13)*'Common NPV parameters'!$F$15</f>
        <v>0</v>
      </c>
      <c r="T41" s="186">
        <f>(T8-T13)*'Common NPV parameters'!$F$15</f>
        <v>0</v>
      </c>
      <c r="U41" s="186">
        <f>(U8-U13)*'Common NPV parameters'!$F$15</f>
        <v>0</v>
      </c>
      <c r="V41" s="8"/>
      <c r="W41" s="79"/>
      <c r="X41" s="97"/>
    </row>
    <row r="42" spans="1:25" x14ac:dyDescent="0.2">
      <c r="A42" s="8"/>
      <c r="B42" s="22"/>
      <c r="C42" s="22"/>
      <c r="D42" s="7"/>
      <c r="E42" s="7"/>
      <c r="F42" s="203"/>
      <c r="G42" s="198"/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8"/>
      <c r="V42" s="8"/>
      <c r="W42" s="79"/>
      <c r="X42" s="97"/>
    </row>
    <row r="43" spans="1:25" x14ac:dyDescent="0.2">
      <c r="A43" s="8"/>
      <c r="B43" s="165" t="s">
        <v>106</v>
      </c>
      <c r="C43" s="165"/>
      <c r="D43" s="7" t="s">
        <v>18</v>
      </c>
      <c r="E43" s="7"/>
      <c r="F43" s="203"/>
      <c r="G43" s="205">
        <f>G41*'Common NPV parameters'!$F$20</f>
        <v>0</v>
      </c>
      <c r="H43" s="205">
        <f>H41*'Common NPV parameters'!$F$20</f>
        <v>0</v>
      </c>
      <c r="I43" s="205">
        <f>I41*'Common NPV parameters'!$F$20</f>
        <v>0</v>
      </c>
      <c r="J43" s="205">
        <f>J41*'Common NPV parameters'!$F$20</f>
        <v>0</v>
      </c>
      <c r="K43" s="205">
        <f>K41*'Common NPV parameters'!$F$20</f>
        <v>0</v>
      </c>
      <c r="L43" s="205">
        <f>L41*'Common NPV parameters'!$F$20</f>
        <v>0</v>
      </c>
      <c r="M43" s="205">
        <f>M41*'Common NPV parameters'!$F$20</f>
        <v>0</v>
      </c>
      <c r="N43" s="205">
        <f>N41*'Common NPV parameters'!$F$20</f>
        <v>0</v>
      </c>
      <c r="O43" s="205">
        <f>O41*'Common NPV parameters'!$F$20</f>
        <v>0</v>
      </c>
      <c r="P43" s="205">
        <f>P41*'Common NPV parameters'!$F$20</f>
        <v>0</v>
      </c>
      <c r="Q43" s="205">
        <f>Q41*'Common NPV parameters'!$F$20</f>
        <v>0</v>
      </c>
      <c r="R43" s="205">
        <f>R41*'Common NPV parameters'!$F$20</f>
        <v>0</v>
      </c>
      <c r="S43" s="205">
        <f>S41*'Common NPV parameters'!$F$20</f>
        <v>0</v>
      </c>
      <c r="T43" s="205">
        <f>T41*'Common NPV parameters'!$F$20</f>
        <v>0</v>
      </c>
      <c r="U43" s="205">
        <f>U41*'Common NPV parameters'!$F$20</f>
        <v>0</v>
      </c>
      <c r="V43" s="8"/>
      <c r="W43" s="79"/>
      <c r="X43" s="97"/>
    </row>
    <row r="44" spans="1:25" ht="13.5" thickBot="1" x14ac:dyDescent="0.25">
      <c r="A44" s="8"/>
      <c r="B44" s="8"/>
      <c r="C44" s="8"/>
      <c r="D44" s="10"/>
      <c r="E44" s="10"/>
      <c r="F44" s="204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8"/>
      <c r="W44" s="79"/>
      <c r="X44" s="97"/>
    </row>
    <row r="45" spans="1:25" ht="13.5" thickBot="1" x14ac:dyDescent="0.25">
      <c r="A45" s="8"/>
      <c r="B45" s="18" t="s">
        <v>105</v>
      </c>
      <c r="C45" s="18"/>
      <c r="D45" s="7" t="s">
        <v>18</v>
      </c>
      <c r="E45" s="7"/>
      <c r="F45" s="203"/>
      <c r="G45" s="187">
        <f t="shared" ref="G45:U45" si="24">SUM(G46:G48)</f>
        <v>-250.69920327583986</v>
      </c>
      <c r="H45" s="188">
        <f t="shared" si="24"/>
        <v>-553.80776394762972</v>
      </c>
      <c r="I45" s="188">
        <f t="shared" si="24"/>
        <v>-489.35230500251225</v>
      </c>
      <c r="J45" s="188">
        <f t="shared" si="24"/>
        <v>-438.17495184322536</v>
      </c>
      <c r="K45" s="188">
        <f t="shared" si="24"/>
        <v>-398.08333767826969</v>
      </c>
      <c r="L45" s="188">
        <f t="shared" ref="L45:P45" si="25">SUM(L46:L48)</f>
        <v>-367.27591659714926</v>
      </c>
      <c r="M45" s="188">
        <f t="shared" si="25"/>
        <v>-344.2742048128539</v>
      </c>
      <c r="N45" s="188">
        <f t="shared" si="25"/>
        <v>-327.86688687193555</v>
      </c>
      <c r="O45" s="188">
        <f t="shared" si="25"/>
        <v>-317.06371660400782</v>
      </c>
      <c r="P45" s="188">
        <f t="shared" si="25"/>
        <v>-311.05750426326927</v>
      </c>
      <c r="Q45" s="188">
        <f t="shared" si="24"/>
        <v>-309.19277983654752</v>
      </c>
      <c r="R45" s="188">
        <f t="shared" si="24"/>
        <v>-310.93996888670199</v>
      </c>
      <c r="S45" s="188">
        <f t="shared" si="24"/>
        <v>-315.87412067105743</v>
      </c>
      <c r="T45" s="188">
        <f t="shared" si="24"/>
        <v>-323.65739613659343</v>
      </c>
      <c r="U45" s="189">
        <f t="shared" si="24"/>
        <v>-1020.1237359965139</v>
      </c>
      <c r="V45" s="8"/>
      <c r="W45" s="79"/>
      <c r="Y45" s="164"/>
    </row>
    <row r="46" spans="1:25" x14ac:dyDescent="0.2">
      <c r="A46" s="8"/>
      <c r="B46" s="21" t="s">
        <v>79</v>
      </c>
      <c r="C46" s="21"/>
      <c r="D46" s="25" t="s">
        <v>18</v>
      </c>
      <c r="E46" s="25"/>
      <c r="F46" s="206"/>
      <c r="G46" s="207">
        <f>((H8-H13)-(G8-G13))*-'Common NPV parameters'!$F$17</f>
        <v>-250.69920327583986</v>
      </c>
      <c r="H46" s="252">
        <f>((I8-I13)-(H8-H13))*-'Common NPV parameters'!$F$17</f>
        <v>-217.45051177252947</v>
      </c>
      <c r="I46" s="252">
        <f>((J8-J13)-(I8-I13))*-'Common NPV parameters'!$F$17</f>
        <v>-190.66853886265335</v>
      </c>
      <c r="J46" s="252">
        <f>((K8-K13)-(J8-J13))*-'Common NPV parameters'!$F$17</f>
        <v>-169.26523373669852</v>
      </c>
      <c r="K46" s="252">
        <f>((L8-L13)-(K8-K13))*-'Common NPV parameters'!$F$17</f>
        <v>-152.34515975487682</v>
      </c>
      <c r="L46" s="252">
        <f>((M8-M13)-(L8-L13))*-'Common NPV parameters'!$F$17</f>
        <v>-139.1720172357293</v>
      </c>
      <c r="M46" s="252">
        <f>((N8-N13)-(M8-M13))*-'Common NPV parameters'!$F$17</f>
        <v>-129.1410230920053</v>
      </c>
      <c r="N46" s="252">
        <f>((O8-O13)-(N8-N13))*-'Common NPV parameters'!$F$17</f>
        <v>-121.75612507124242</v>
      </c>
      <c r="O46" s="252">
        <f>((P8-P13)-(O8-O13))*-'Common NPV parameters'!$F$17</f>
        <v>-116.61120692956956</v>
      </c>
      <c r="P46" s="252">
        <f>((Q8-Q13)-(P8-P13))*-'Common NPV parameters'!$F$17</f>
        <v>-113.37458825418366</v>
      </c>
      <c r="Q46" s="252">
        <f>((R8-R13)-(Q8-Q13))*-'Common NPV parameters'!$F$17</f>
        <v>-111.77624429872481</v>
      </c>
      <c r="R46" s="252">
        <f>((S8-S13)-(R8-R13))*-'Common NPV parameters'!$F$17</f>
        <v>-111.59727160192233</v>
      </c>
      <c r="S46" s="252">
        <f>((T8-T13)-(S8-S13))*-'Common NPV parameters'!$F$17</f>
        <v>-112.66120803336207</v>
      </c>
      <c r="T46" s="252">
        <f>((U8-U13)-(T8-T13))*-'Common NPV parameters'!$F$17</f>
        <v>-114.82688431330871</v>
      </c>
      <c r="U46" s="252">
        <f>((V8-V13)-(U8-U13))*-'Common NPV parameters'!$F$17</f>
        <v>-804.08161456126436</v>
      </c>
      <c r="V46" s="8"/>
      <c r="W46" s="79"/>
    </row>
    <row r="47" spans="1:25" x14ac:dyDescent="0.2">
      <c r="A47" s="8"/>
      <c r="B47" s="21" t="s">
        <v>81</v>
      </c>
      <c r="C47" s="21"/>
      <c r="D47" s="25" t="s">
        <v>18</v>
      </c>
      <c r="E47" s="25"/>
      <c r="F47" s="208"/>
      <c r="G47" s="186">
        <f>(F8*'Common NPV parameters'!$F$18)-('NPV calculation'!G8*'Common NPV parameters'!$F$18)</f>
        <v>0</v>
      </c>
      <c r="H47" s="186">
        <f>(G8*'Common NPV parameters'!$F$18)-('NPV calculation'!H8*'Common NPV parameters'!$F$18)</f>
        <v>-784.83358840856727</v>
      </c>
      <c r="I47" s="186">
        <f>(H8*'Common NPV parameters'!$F$18)-('NPV calculation'!I8*'Common NPV parameters'!$F$18)</f>
        <v>-696.92878765967089</v>
      </c>
      <c r="J47" s="186">
        <f>(I8*'Common NPV parameters'!$F$18)-('NPV calculation'!J8*'Common NPV parameters'!$F$18)</f>
        <v>-627.45600891522963</v>
      </c>
      <c r="K47" s="186">
        <f>(J8*'Common NPV parameters'!$F$18)-('NPV calculation'!K8*'Common NPV parameters'!$F$18)</f>
        <v>-573.38908182124987</v>
      </c>
      <c r="L47" s="186">
        <f>(K8*'Common NPV parameters'!$F$18)-('NPV calculation'!L8*'Common NPV parameters'!$F$18)</f>
        <v>-532.24243184331362</v>
      </c>
      <c r="M47" s="186">
        <f>(L8*'Common NPV parameters'!$F$18)-('NPV calculation'!M8*'Common NPV parameters'!$F$18)</f>
        <v>-501.97742401531286</v>
      </c>
      <c r="N47" s="186">
        <f>(M8*'Common NPV parameters'!$F$18)-('NPV calculation'!N8*'Common NPV parameters'!$F$18)</f>
        <v>-480.92511086828335</v>
      </c>
      <c r="O47" s="186">
        <f>(N8*'Common NPV parameters'!$F$18)-('NPV calculation'!O8*'Common NPV parameters'!$F$18)</f>
        <v>-467.72252257369109</v>
      </c>
      <c r="P47" s="186">
        <f>(O8*'Common NPV parameters'!$F$18)-('NPV calculation'!P8*'Common NPV parameters'!$F$18)</f>
        <v>-461.26013735453307</v>
      </c>
      <c r="Q47" s="186">
        <f>(P8*'Common NPV parameters'!$F$18)-('NPV calculation'!Q8*'Common NPV parameters'!$F$18)</f>
        <v>-460.63858292158602</v>
      </c>
      <c r="R47" s="186">
        <f>(Q8*'Common NPV parameters'!$F$18)-('NPV calculation'!R8*'Common NPV parameters'!$F$18)</f>
        <v>-465.1329603311533</v>
      </c>
      <c r="S47" s="186">
        <f>(R8*'Common NPV parameters'!$F$18)-('NPV calculation'!S8*'Common NPV parameters'!$F$18)</f>
        <v>-474.1634628212887</v>
      </c>
      <c r="T47" s="186">
        <f>(S8*'Common NPV parameters'!$F$18)-('NPV calculation'!T8*'Common NPV parameters'!$F$18)</f>
        <v>-487.27119425433011</v>
      </c>
      <c r="U47" s="186">
        <f>(T8*'Common NPV parameters'!$F$18)-('NPV calculation'!U8*'Common NPV parameters'!$F$18)</f>
        <v>-504.09828334891608</v>
      </c>
      <c r="V47" s="8"/>
      <c r="W47" s="79"/>
    </row>
    <row r="48" spans="1:25" x14ac:dyDescent="0.2">
      <c r="A48" s="8"/>
      <c r="B48" s="21" t="s">
        <v>80</v>
      </c>
      <c r="C48" s="21"/>
      <c r="D48" s="25" t="s">
        <v>18</v>
      </c>
      <c r="E48" s="25"/>
      <c r="F48" s="208"/>
      <c r="G48" s="186">
        <f>(F8*'Common NPV parameters'!$F$19)-('NPV calculation'!G8*'Common NPV parameters'!$F$19)</f>
        <v>0</v>
      </c>
      <c r="H48" s="186">
        <f>(G8*'Common NPV parameters'!$F$19)-('NPV calculation'!H8*'Common NPV parameters'!$F$19)</f>
        <v>448.47633623346701</v>
      </c>
      <c r="I48" s="186">
        <f>(H8*'Common NPV parameters'!$F$19)-('NPV calculation'!I8*'Common NPV parameters'!$F$19)</f>
        <v>398.24502151981198</v>
      </c>
      <c r="J48" s="186">
        <f>(I8*'Common NPV parameters'!$F$19)-('NPV calculation'!J8*'Common NPV parameters'!$F$19)</f>
        <v>358.54629080870279</v>
      </c>
      <c r="K48" s="186">
        <f>(J8*'Common NPV parameters'!$F$19)-('NPV calculation'!K8*'Common NPV parameters'!$F$19)</f>
        <v>327.65090389785701</v>
      </c>
      <c r="L48" s="186">
        <f>(K8*'Common NPV parameters'!$F$19)-('NPV calculation'!L8*'Common NPV parameters'!$F$19)</f>
        <v>304.13853248189366</v>
      </c>
      <c r="M48" s="186">
        <f>(L8*'Common NPV parameters'!$F$19)-('NPV calculation'!M8*'Common NPV parameters'!$F$19)</f>
        <v>286.84424229446427</v>
      </c>
      <c r="N48" s="186">
        <f>(M8*'Common NPV parameters'!$F$19)-('NPV calculation'!N8*'Common NPV parameters'!$F$19)</f>
        <v>274.81434906759023</v>
      </c>
      <c r="O48" s="186">
        <f>(N8*'Common NPV parameters'!$F$19)-('NPV calculation'!O8*'Common NPV parameters'!$F$19)</f>
        <v>267.27001289925283</v>
      </c>
      <c r="P48" s="186">
        <f>(O8*'Common NPV parameters'!$F$19)-('NPV calculation'!P8*'Common NPV parameters'!$F$19)</f>
        <v>263.57722134544747</v>
      </c>
      <c r="Q48" s="186">
        <f>(P8*'Common NPV parameters'!$F$19)-('NPV calculation'!Q8*'Common NPV parameters'!$F$19)</f>
        <v>263.22204738376331</v>
      </c>
      <c r="R48" s="186">
        <f>(Q8*'Common NPV parameters'!$F$19)-('NPV calculation'!R8*'Common NPV parameters'!$F$19)</f>
        <v>265.79026304637364</v>
      </c>
      <c r="S48" s="186">
        <f>(R8*'Common NPV parameters'!$F$19)-('NPV calculation'!S8*'Common NPV parameters'!$F$19)</f>
        <v>270.95055018359335</v>
      </c>
      <c r="T48" s="186">
        <f>(S8*'Common NPV parameters'!$F$19)-('NPV calculation'!T8*'Common NPV parameters'!$F$19)</f>
        <v>278.44068243104539</v>
      </c>
      <c r="U48" s="186">
        <f>(T8*'Common NPV parameters'!$F$19)-('NPV calculation'!U8*'Common NPV parameters'!$F$19)</f>
        <v>288.05616191366653</v>
      </c>
      <c r="V48" s="8"/>
      <c r="W48" s="79"/>
    </row>
    <row r="49" spans="1:25" x14ac:dyDescent="0.2">
      <c r="A49" s="8"/>
      <c r="B49" s="29"/>
      <c r="C49" s="29"/>
      <c r="D49" s="79"/>
      <c r="E49" s="10"/>
      <c r="F49" s="204"/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  <c r="T49" s="199"/>
      <c r="U49" s="199"/>
      <c r="V49" s="8"/>
      <c r="W49" s="79"/>
    </row>
    <row r="50" spans="1:25" x14ac:dyDescent="0.2">
      <c r="A50" s="8"/>
      <c r="B50" s="18" t="s">
        <v>8</v>
      </c>
      <c r="C50" s="18"/>
      <c r="D50" s="10"/>
      <c r="E50" s="10"/>
      <c r="F50" s="204"/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  <c r="T50" s="199"/>
      <c r="U50" s="199"/>
      <c r="V50" s="8"/>
      <c r="W50" s="79"/>
    </row>
    <row r="51" spans="1:25" ht="13.5" thickBot="1" x14ac:dyDescent="0.25">
      <c r="A51" s="8"/>
      <c r="B51" s="21" t="s">
        <v>98</v>
      </c>
      <c r="C51" s="21"/>
      <c r="D51" s="25" t="s">
        <v>18</v>
      </c>
      <c r="E51" s="7"/>
      <c r="F51" s="203"/>
      <c r="G51" s="195">
        <f>G35+G37+G39+G43+G45</f>
        <v>-1788.5336625054313</v>
      </c>
      <c r="H51" s="195">
        <f t="shared" ref="H51:U51" si="26">H35+H37+H39+H43+H45</f>
        <v>-858.15468188525767</v>
      </c>
      <c r="I51" s="195">
        <f t="shared" si="26"/>
        <v>854.309248019753</v>
      </c>
      <c r="J51" s="195">
        <f t="shared" si="26"/>
        <v>1891.1724823945328</v>
      </c>
      <c r="K51" s="195">
        <f t="shared" si="26"/>
        <v>2832.246078647896</v>
      </c>
      <c r="L51" s="195">
        <f t="shared" si="26"/>
        <v>3699.9323861443145</v>
      </c>
      <c r="M51" s="195">
        <f t="shared" si="26"/>
        <v>4513.0865249898716</v>
      </c>
      <c r="N51" s="195">
        <f t="shared" si="26"/>
        <v>5287.6590761494735</v>
      </c>
      <c r="O51" s="195">
        <f t="shared" si="26"/>
        <v>6037.2279886815832</v>
      </c>
      <c r="P51" s="195">
        <f t="shared" si="26"/>
        <v>6773.4391437357435</v>
      </c>
      <c r="Q51" s="195">
        <f t="shared" si="26"/>
        <v>7506.3716256449998</v>
      </c>
      <c r="R51" s="195">
        <f t="shared" si="26"/>
        <v>8244.8409534254242</v>
      </c>
      <c r="S51" s="195">
        <f t="shared" si="26"/>
        <v>8996.6512178490302</v>
      </c>
      <c r="T51" s="195">
        <f t="shared" si="26"/>
        <v>9768.8051646279855</v>
      </c>
      <c r="U51" s="195">
        <f t="shared" si="26"/>
        <v>9881.580618642316</v>
      </c>
      <c r="V51" s="8"/>
      <c r="W51" s="79"/>
      <c r="Y51" s="52"/>
    </row>
    <row r="52" spans="1:25" ht="13.5" thickBot="1" x14ac:dyDescent="0.25">
      <c r="A52" s="8"/>
      <c r="B52" s="23" t="s">
        <v>37</v>
      </c>
      <c r="C52" s="23"/>
      <c r="D52" s="7" t="s">
        <v>18</v>
      </c>
      <c r="E52" s="7"/>
      <c r="F52" s="203"/>
      <c r="G52" s="209">
        <f>G51</f>
        <v>-1788.5336625054313</v>
      </c>
      <c r="H52" s="209">
        <f t="shared" ref="H52" si="27">G52+H51</f>
        <v>-2646.6883443906891</v>
      </c>
      <c r="I52" s="209">
        <f t="shared" ref="I52" si="28">H52+I51</f>
        <v>-1792.3790963709362</v>
      </c>
      <c r="J52" s="209">
        <f t="shared" ref="J52" si="29">I52+J51</f>
        <v>98.793386023596668</v>
      </c>
      <c r="K52" s="209">
        <f t="shared" ref="K52" si="30">J52+K51</f>
        <v>2931.0394646714926</v>
      </c>
      <c r="L52" s="209">
        <f t="shared" ref="L52" si="31">K52+L51</f>
        <v>6630.9718508158076</v>
      </c>
      <c r="M52" s="209">
        <f t="shared" ref="M52" si="32">L52+M51</f>
        <v>11144.058375805678</v>
      </c>
      <c r="N52" s="209">
        <f t="shared" ref="N52" si="33">M52+N51</f>
        <v>16431.717451955152</v>
      </c>
      <c r="O52" s="209">
        <f t="shared" ref="O52" si="34">N52+O51</f>
        <v>22468.945440636737</v>
      </c>
      <c r="P52" s="209">
        <f t="shared" ref="P52" si="35">O52+P51</f>
        <v>29242.384584372481</v>
      </c>
      <c r="Q52" s="209">
        <f t="shared" ref="Q52" si="36">P52+Q51</f>
        <v>36748.756210017484</v>
      </c>
      <c r="R52" s="209">
        <f t="shared" ref="R52" si="37">Q52+R51</f>
        <v>44993.597163442908</v>
      </c>
      <c r="S52" s="209">
        <f t="shared" ref="S52" si="38">R52+S51</f>
        <v>53990.248381291938</v>
      </c>
      <c r="T52" s="209">
        <f t="shared" ref="T52" si="39">S52+T51</f>
        <v>63759.053545919924</v>
      </c>
      <c r="U52" s="209">
        <f t="shared" ref="U52" si="40">T52+U51</f>
        <v>73640.634164562245</v>
      </c>
      <c r="V52" s="8"/>
      <c r="W52" s="79"/>
    </row>
    <row r="53" spans="1:25" x14ac:dyDescent="0.2">
      <c r="A53" s="8"/>
      <c r="B53" s="8"/>
      <c r="C53" s="8"/>
      <c r="D53" s="10"/>
      <c r="E53" s="10"/>
      <c r="F53" s="10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8"/>
      <c r="W53" s="79"/>
    </row>
    <row r="54" spans="1:25" x14ac:dyDescent="0.2">
      <c r="A54" s="8"/>
      <c r="B54" s="18" t="s">
        <v>23</v>
      </c>
      <c r="C54" s="18"/>
      <c r="D54" s="10"/>
      <c r="E54" s="10"/>
      <c r="F54" s="10"/>
      <c r="G54" s="82">
        <f>1/(1+'Common NPV parameters'!$F$8)^(G4-0.5)</f>
        <v>0.92847669088525941</v>
      </c>
      <c r="H54" s="82">
        <f>1/(1+'Common NPV parameters'!$F$8)^(H4-0.5)</f>
        <v>0.80041094041832705</v>
      </c>
      <c r="I54" s="82">
        <f>1/(1+'Common NPV parameters'!$F$8)^(I4-0.5)</f>
        <v>0.69000943139510951</v>
      </c>
      <c r="J54" s="82">
        <f>1/(1+'Common NPV parameters'!$F$8)^(J4-0.5)</f>
        <v>0.59483571671992208</v>
      </c>
      <c r="K54" s="82">
        <f>1/(1+'Common NPV parameters'!$F$8)^(K4-0.5)</f>
        <v>0.51278941096545017</v>
      </c>
      <c r="L54" s="82">
        <f>1/(1+'Common NPV parameters'!$F$8)^(L4-0.5)</f>
        <v>0.44205983703918117</v>
      </c>
      <c r="M54" s="82">
        <f>1/(1+'Common NPV parameters'!$F$8)^(M4-0.5)</f>
        <v>0.38108606641308723</v>
      </c>
      <c r="N54" s="82">
        <f>1/(1+'Common NPV parameters'!$F$8)^(N4-0.5)</f>
        <v>0.32852247104576487</v>
      </c>
      <c r="O54" s="82">
        <f>1/(1+'Common NPV parameters'!$F$8)^(O4-0.5)</f>
        <v>0.28320902676359044</v>
      </c>
      <c r="P54" s="82">
        <f>1/(1+'Common NPV parameters'!$F$8)^(P4-0.5)</f>
        <v>0.24414571272723312</v>
      </c>
      <c r="Q54" s="82">
        <f>1/(1+'Common NPV parameters'!$F$8)^(Q4-0.5)</f>
        <v>0.21047044200623546</v>
      </c>
      <c r="R54" s="82">
        <f>1/(1+'Common NPV parameters'!$F$8)^(R4-0.5)</f>
        <v>0.18144003621227198</v>
      </c>
      <c r="S54" s="82">
        <f>1/(1+'Common NPV parameters'!$F$8)^(S4-0.5)</f>
        <v>0.15641382432092413</v>
      </c>
      <c r="T54" s="82">
        <f>1/(1+'Common NPV parameters'!$F$8)^(T4-0.5)</f>
        <v>0.13483950372493458</v>
      </c>
      <c r="U54" s="82">
        <f>1/(1+'Common NPV parameters'!$F$8)^(U4-0.5)</f>
        <v>0.11624095148701259</v>
      </c>
      <c r="V54" s="8"/>
      <c r="W54" s="79"/>
      <c r="X54" t="s">
        <v>179</v>
      </c>
    </row>
    <row r="55" spans="1:25" x14ac:dyDescent="0.2">
      <c r="A55" s="8"/>
      <c r="B55" s="8"/>
      <c r="C55" s="8"/>
      <c r="D55" s="10"/>
      <c r="E55" s="10"/>
      <c r="F55" s="10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79"/>
    </row>
    <row r="56" spans="1:25" x14ac:dyDescent="0.2">
      <c r="A56" s="8"/>
      <c r="B56" s="18" t="s">
        <v>24</v>
      </c>
      <c r="C56" s="18"/>
      <c r="D56" s="10"/>
      <c r="E56" s="10"/>
      <c r="F56" s="177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  <c r="R56" s="176"/>
      <c r="S56" s="176"/>
      <c r="T56" s="176"/>
      <c r="U56" s="176"/>
      <c r="V56" s="8"/>
      <c r="W56" s="79"/>
    </row>
    <row r="57" spans="1:25" ht="13.5" thickBot="1" x14ac:dyDescent="0.25">
      <c r="A57" s="8"/>
      <c r="B57" s="21" t="s">
        <v>98</v>
      </c>
      <c r="C57" s="21"/>
      <c r="D57" s="25" t="s">
        <v>18</v>
      </c>
      <c r="E57" s="7"/>
      <c r="F57" s="203"/>
      <c r="G57" s="195">
        <f>G51*G54</f>
        <v>-1660.6118164999361</v>
      </c>
      <c r="H57" s="195">
        <f>H51*H54</f>
        <v>-686.87639595216933</v>
      </c>
      <c r="I57" s="195">
        <f t="shared" ref="I57:U57" si="41">I51*I54</f>
        <v>589.4814384616933</v>
      </c>
      <c r="J57" s="195">
        <f t="shared" si="41"/>
        <v>1124.9369390061461</v>
      </c>
      <c r="K57" s="195">
        <f t="shared" si="41"/>
        <v>1452.3457983790606</v>
      </c>
      <c r="L57" s="195">
        <f t="shared" ref="L57:P57" si="42">L51*L54</f>
        <v>1635.5915076749443</v>
      </c>
      <c r="M57" s="195">
        <f t="shared" si="42"/>
        <v>1719.8743911902993</v>
      </c>
      <c r="N57" s="195">
        <f t="shared" si="42"/>
        <v>1737.1148257441912</v>
      </c>
      <c r="O57" s="195">
        <f t="shared" si="42"/>
        <v>1709.7974630244198</v>
      </c>
      <c r="P57" s="195">
        <f t="shared" si="42"/>
        <v>1653.7061273619026</v>
      </c>
      <c r="Q57" s="195">
        <f t="shared" si="41"/>
        <v>1579.8693539125672</v>
      </c>
      <c r="R57" s="195">
        <f t="shared" si="41"/>
        <v>1495.9442411539319</v>
      </c>
      <c r="S57" s="195">
        <f t="shared" si="41"/>
        <v>1407.2006230652662</v>
      </c>
      <c r="T57" s="195">
        <f t="shared" si="41"/>
        <v>1317.2208403840154</v>
      </c>
      <c r="U57" s="195">
        <f t="shared" si="41"/>
        <v>1148.6443333066054</v>
      </c>
      <c r="V57" s="8"/>
      <c r="W57" s="79"/>
    </row>
    <row r="58" spans="1:25" ht="13.5" thickBot="1" x14ac:dyDescent="0.25">
      <c r="A58" s="8"/>
      <c r="B58" s="23" t="s">
        <v>37</v>
      </c>
      <c r="C58" s="23"/>
      <c r="D58" s="7" t="s">
        <v>18</v>
      </c>
      <c r="E58" s="7"/>
      <c r="F58" s="203"/>
      <c r="G58" s="209">
        <f>G57</f>
        <v>-1660.6118164999361</v>
      </c>
      <c r="H58" s="209">
        <f t="shared" ref="H58" si="43">G58+H57</f>
        <v>-2347.4882124521055</v>
      </c>
      <c r="I58" s="209">
        <f t="shared" ref="I58" si="44">H58+I57</f>
        <v>-1758.0067739904121</v>
      </c>
      <c r="J58" s="209">
        <f t="shared" ref="J58" si="45">I58+J57</f>
        <v>-633.06983498426598</v>
      </c>
      <c r="K58" s="209">
        <f t="shared" ref="K58" si="46">J58+K57</f>
        <v>819.27596339479464</v>
      </c>
      <c r="L58" s="209">
        <f t="shared" ref="L58" si="47">K58+L57</f>
        <v>2454.8674710697387</v>
      </c>
      <c r="M58" s="209">
        <f t="shared" ref="M58" si="48">L58+M57</f>
        <v>4174.741862260038</v>
      </c>
      <c r="N58" s="209">
        <f t="shared" ref="N58" si="49">M58+N57</f>
        <v>5911.856688004229</v>
      </c>
      <c r="O58" s="209">
        <f t="shared" ref="O58" si="50">N58+O57</f>
        <v>7621.6541510286488</v>
      </c>
      <c r="P58" s="209">
        <f t="shared" ref="P58" si="51">O58+P57</f>
        <v>9275.3602783905517</v>
      </c>
      <c r="Q58" s="209">
        <f t="shared" ref="Q58" si="52">P58+Q57</f>
        <v>10855.229632303119</v>
      </c>
      <c r="R58" s="209">
        <f t="shared" ref="R58" si="53">Q58+R57</f>
        <v>12351.17387345705</v>
      </c>
      <c r="S58" s="209">
        <f t="shared" ref="S58" si="54">R58+S57</f>
        <v>13758.374496522316</v>
      </c>
      <c r="T58" s="209">
        <f t="shared" ref="T58" si="55">S58+T57</f>
        <v>15075.595336906332</v>
      </c>
      <c r="U58" s="209">
        <f t="shared" ref="U58" si="56">T58+U57</f>
        <v>16224.239670212937</v>
      </c>
      <c r="V58" s="8"/>
      <c r="W58" s="79"/>
    </row>
    <row r="59" spans="1:25" x14ac:dyDescent="0.2">
      <c r="A59" s="8"/>
      <c r="B59" s="8"/>
      <c r="C59" s="8"/>
      <c r="D59" s="10"/>
      <c r="E59" s="10"/>
      <c r="F59" s="204"/>
      <c r="G59" s="19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  <c r="T59" s="199"/>
      <c r="U59" s="199"/>
      <c r="V59" s="8"/>
      <c r="W59" s="79"/>
    </row>
    <row r="60" spans="1:25" x14ac:dyDescent="0.2">
      <c r="A60" s="8"/>
      <c r="B60" s="24" t="s">
        <v>25</v>
      </c>
      <c r="C60" s="24"/>
      <c r="D60" s="25" t="s">
        <v>18</v>
      </c>
      <c r="E60" s="157"/>
      <c r="F60" s="210"/>
      <c r="G60" s="201">
        <f>U58</f>
        <v>16224.239670212937</v>
      </c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  <c r="T60" s="199"/>
      <c r="U60" s="199"/>
      <c r="V60" s="8"/>
      <c r="W60" s="79"/>
    </row>
    <row r="61" spans="1:25" ht="15" thickBot="1" x14ac:dyDescent="0.25">
      <c r="A61" s="8"/>
      <c r="B61" s="35" t="s">
        <v>26</v>
      </c>
      <c r="C61" s="35"/>
      <c r="D61" s="158" t="s">
        <v>18</v>
      </c>
      <c r="E61" s="157"/>
      <c r="F61" s="210"/>
      <c r="G61" s="201">
        <f>U57/('Common NPV parameters'!F8-'Common NPV parameters'!F9)</f>
        <v>7179.0270831662838</v>
      </c>
      <c r="H61" s="268"/>
      <c r="J61" s="199"/>
      <c r="K61" s="199"/>
      <c r="L61" s="199"/>
      <c r="M61" s="199"/>
      <c r="N61" s="199"/>
      <c r="O61" s="199"/>
      <c r="P61" s="199"/>
      <c r="Q61" s="199"/>
      <c r="R61" s="199"/>
      <c r="S61" s="199"/>
      <c r="T61" s="199"/>
      <c r="U61" s="199"/>
      <c r="V61" s="8"/>
      <c r="W61" s="79"/>
    </row>
    <row r="62" spans="1:25" ht="13.5" thickBot="1" x14ac:dyDescent="0.25">
      <c r="A62" s="8"/>
      <c r="B62" s="18" t="s">
        <v>9</v>
      </c>
      <c r="C62" s="18"/>
      <c r="D62" s="7" t="s">
        <v>18</v>
      </c>
      <c r="E62" s="147"/>
      <c r="F62" s="211"/>
      <c r="G62" s="209">
        <f>SUM(G60:G61)</f>
        <v>23403.266753379219</v>
      </c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  <c r="S62" s="199"/>
      <c r="T62" s="199"/>
      <c r="U62" s="199"/>
      <c r="V62" s="8"/>
      <c r="W62" s="79"/>
    </row>
    <row r="63" spans="1:25" x14ac:dyDescent="0.2">
      <c r="A63" s="8"/>
      <c r="B63" s="8"/>
      <c r="C63" s="8"/>
      <c r="D63" s="10"/>
      <c r="E63" s="10"/>
      <c r="F63" s="204"/>
      <c r="G63" s="19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99"/>
      <c r="S63" s="199"/>
      <c r="T63" s="199"/>
      <c r="U63" s="199"/>
      <c r="V63" s="8"/>
      <c r="W63" s="79"/>
    </row>
    <row r="64" spans="1:25" x14ac:dyDescent="0.2">
      <c r="A64" s="8"/>
      <c r="B64" s="18" t="s">
        <v>199</v>
      </c>
      <c r="C64" s="18"/>
      <c r="D64" s="25"/>
      <c r="E64" s="10"/>
      <c r="F64" s="204"/>
      <c r="G64" s="199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  <c r="T64" s="199"/>
      <c r="U64" s="199"/>
      <c r="V64" s="8"/>
      <c r="W64" s="79"/>
    </row>
    <row r="65" spans="1:23" ht="13.5" thickBot="1" x14ac:dyDescent="0.25">
      <c r="A65" s="8"/>
      <c r="B65" s="21" t="s">
        <v>98</v>
      </c>
      <c r="C65" s="21"/>
      <c r="D65" s="25" t="s">
        <v>18</v>
      </c>
      <c r="E65" s="7"/>
      <c r="F65" s="203"/>
      <c r="G65" s="195">
        <f>(G21+G39)*G54</f>
        <v>-1921.0182734416017</v>
      </c>
      <c r="H65" s="195">
        <f t="shared" ref="H65:U65" si="57">(H21+H39)*H54</f>
        <v>-1705.7317427972844</v>
      </c>
      <c r="I65" s="195">
        <f t="shared" si="57"/>
        <v>-1514.5721509320715</v>
      </c>
      <c r="J65" s="195">
        <f t="shared" si="57"/>
        <v>-1344.8356167758911</v>
      </c>
      <c r="K65" s="195">
        <f t="shared" si="57"/>
        <v>-1194.121280413076</v>
      </c>
      <c r="L65" s="195">
        <f t="shared" si="57"/>
        <v>-1060.2973438150586</v>
      </c>
      <c r="M65" s="195">
        <f t="shared" si="57"/>
        <v>-941.47091735302638</v>
      </c>
      <c r="N65" s="195">
        <f t="shared" si="57"/>
        <v>-835.9612455807046</v>
      </c>
      <c r="O65" s="195">
        <f t="shared" si="57"/>
        <v>-742.27593357597061</v>
      </c>
      <c r="P65" s="195">
        <f t="shared" si="57"/>
        <v>-659.08983757176702</v>
      </c>
      <c r="Q65" s="195">
        <f t="shared" si="57"/>
        <v>-585.22632129217254</v>
      </c>
      <c r="R65" s="195">
        <f t="shared" si="57"/>
        <v>-519.64061287149809</v>
      </c>
      <c r="S65" s="195">
        <f t="shared" si="57"/>
        <v>-461.40502694624405</v>
      </c>
      <c r="T65" s="195">
        <f t="shared" si="57"/>
        <v>-409.69584289192358</v>
      </c>
      <c r="U65" s="195">
        <f t="shared" si="57"/>
        <v>-363.78165360231151</v>
      </c>
      <c r="V65" s="8"/>
      <c r="W65" s="79"/>
    </row>
    <row r="66" spans="1:23" ht="13.5" thickBot="1" x14ac:dyDescent="0.25">
      <c r="A66" s="8"/>
      <c r="B66" s="23" t="s">
        <v>37</v>
      </c>
      <c r="C66" s="23"/>
      <c r="D66" s="7" t="s">
        <v>18</v>
      </c>
      <c r="E66" s="7"/>
      <c r="F66" s="203"/>
      <c r="G66" s="209">
        <f>G65</f>
        <v>-1921.0182734416017</v>
      </c>
      <c r="H66" s="209">
        <f t="shared" ref="H66" si="58">G66+H65</f>
        <v>-3626.750016238886</v>
      </c>
      <c r="I66" s="209">
        <f t="shared" ref="I66" si="59">H66+I65</f>
        <v>-5141.322167170958</v>
      </c>
      <c r="J66" s="209">
        <f t="shared" ref="J66" si="60">I66+J65</f>
        <v>-6486.1577839468491</v>
      </c>
      <c r="K66" s="209">
        <f t="shared" ref="K66" si="61">J66+K65</f>
        <v>-7680.2790643599255</v>
      </c>
      <c r="L66" s="209">
        <f t="shared" ref="L66" si="62">K66+L65</f>
        <v>-8740.576408174984</v>
      </c>
      <c r="M66" s="209">
        <f t="shared" ref="M66" si="63">L66+M65</f>
        <v>-9682.0473255280103</v>
      </c>
      <c r="N66" s="209">
        <f t="shared" ref="N66" si="64">M66+N65</f>
        <v>-10518.008571108716</v>
      </c>
      <c r="O66" s="209">
        <f t="shared" ref="O66" si="65">N66+O65</f>
        <v>-11260.284504684687</v>
      </c>
      <c r="P66" s="209">
        <f t="shared" ref="P66" si="66">O66+P65</f>
        <v>-11919.374342256455</v>
      </c>
      <c r="Q66" s="209">
        <f t="shared" ref="Q66" si="67">P66+Q65</f>
        <v>-12504.600663548626</v>
      </c>
      <c r="R66" s="209">
        <f t="shared" ref="R66" si="68">Q66+R65</f>
        <v>-13024.241276420125</v>
      </c>
      <c r="S66" s="209">
        <f t="shared" ref="S66" si="69">R66+S65</f>
        <v>-13485.646303366369</v>
      </c>
      <c r="T66" s="209">
        <f t="shared" ref="T66" si="70">S66+T65</f>
        <v>-13895.342146258294</v>
      </c>
      <c r="U66" s="209">
        <f t="shared" ref="U66" si="71">T66+U65</f>
        <v>-14259.123799860605</v>
      </c>
      <c r="V66" s="8"/>
      <c r="W66" s="79"/>
    </row>
    <row r="67" spans="1:23" ht="13.5" thickBot="1" x14ac:dyDescent="0.25">
      <c r="A67" s="8"/>
      <c r="B67" s="23"/>
      <c r="C67" s="23"/>
      <c r="D67" s="7"/>
      <c r="E67" s="7"/>
      <c r="F67" s="203"/>
      <c r="G67" s="212"/>
      <c r="H67" s="212"/>
      <c r="I67" s="212"/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8"/>
      <c r="W67" s="79"/>
    </row>
    <row r="68" spans="1:23" ht="13.5" thickBot="1" x14ac:dyDescent="0.25">
      <c r="A68" s="8"/>
      <c r="B68" s="23" t="s">
        <v>199</v>
      </c>
      <c r="C68" s="23"/>
      <c r="D68" s="10"/>
      <c r="E68" s="10"/>
      <c r="F68" s="204"/>
      <c r="G68" s="209">
        <f>U66</f>
        <v>-14259.123799860605</v>
      </c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199"/>
      <c r="S68" s="199"/>
      <c r="T68" s="199"/>
      <c r="U68" s="199"/>
      <c r="V68" s="8"/>
      <c r="W68" s="79"/>
    </row>
    <row r="69" spans="1:23" x14ac:dyDescent="0.2">
      <c r="A69" s="124"/>
      <c r="B69" s="124"/>
      <c r="C69" s="124"/>
      <c r="D69" s="125"/>
      <c r="E69" s="125"/>
      <c r="F69" s="178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8"/>
      <c r="W69" s="79"/>
    </row>
    <row r="70" spans="1:23" x14ac:dyDescent="0.2">
      <c r="A70" s="29"/>
      <c r="B70" s="108" t="s">
        <v>47</v>
      </c>
      <c r="C70" s="108"/>
      <c r="D70" s="96"/>
      <c r="E70" s="96"/>
      <c r="F70" s="96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29"/>
      <c r="W70" s="79"/>
    </row>
    <row r="71" spans="1:23" x14ac:dyDescent="0.2">
      <c r="A71" s="29"/>
      <c r="B71" s="110" t="s">
        <v>22</v>
      </c>
      <c r="C71" s="110"/>
      <c r="D71" s="111" t="s">
        <v>42</v>
      </c>
      <c r="E71" s="111"/>
      <c r="F71" s="111"/>
      <c r="G71" s="112">
        <f>IF(SUM('Secondary Inputs'!$J$6:J6)&gt;0,1,"")</f>
        <v>1</v>
      </c>
      <c r="H71" s="112">
        <f>IF(SUM('Secondary Inputs'!$J$6:K6)&gt;0,1,"")</f>
        <v>1</v>
      </c>
      <c r="I71" s="112">
        <f>IF(SUM('Secondary Inputs'!$J$6:L6)&gt;0,1,"")</f>
        <v>1</v>
      </c>
      <c r="J71" s="112">
        <f>IF(SUM('Secondary Inputs'!$J$6:M6)&gt;0,1,"")</f>
        <v>1</v>
      </c>
      <c r="K71" s="112">
        <f>IF(SUM('Secondary Inputs'!$J$6:N6)&gt;0,1,"")</f>
        <v>1</v>
      </c>
      <c r="L71" s="112">
        <f>IF(SUM('Secondary Inputs'!$J$6:O6)&gt;0,1,"")</f>
        <v>1</v>
      </c>
      <c r="M71" s="112">
        <f>IF(SUM('Secondary Inputs'!$J$6:P6)&gt;0,1,"")</f>
        <v>1</v>
      </c>
      <c r="N71" s="112">
        <f>IF(SUM('Secondary Inputs'!$J$6:Q6)&gt;0,1,"")</f>
        <v>1</v>
      </c>
      <c r="O71" s="112">
        <f>IF(SUM('Secondary Inputs'!$J$6:R6)&gt;0,1,"")</f>
        <v>1</v>
      </c>
      <c r="P71" s="112">
        <f>IF(SUM('Secondary Inputs'!$J$6:S6)&gt;0,1,"")</f>
        <v>1</v>
      </c>
      <c r="Q71" s="112">
        <f>IF(SUM('Secondary Inputs'!$J$6:T6)&gt;0,1,"")</f>
        <v>1</v>
      </c>
      <c r="R71" s="112">
        <f>IF(SUM('Secondary Inputs'!$J$6:U6)&gt;0,1,"")</f>
        <v>1</v>
      </c>
      <c r="S71" s="112">
        <f>IF(SUM('Secondary Inputs'!$J$6:V6)&gt;0,1,"")</f>
        <v>1</v>
      </c>
      <c r="T71" s="112">
        <f>IF(SUM('Secondary Inputs'!$J$6:W6)&gt;0,1,"")</f>
        <v>1</v>
      </c>
      <c r="U71" s="112">
        <f>IF(SUM('Secondary Inputs'!$J$6:X6)&gt;0,1,"")</f>
        <v>1</v>
      </c>
      <c r="V71" s="29"/>
      <c r="W71" s="79"/>
    </row>
    <row r="72" spans="1:23" x14ac:dyDescent="0.2">
      <c r="A72" s="29"/>
      <c r="B72" s="110"/>
      <c r="C72" s="110"/>
      <c r="D72" s="111"/>
      <c r="E72" s="111"/>
      <c r="F72" s="111"/>
      <c r="G72" s="112">
        <f t="shared" ref="G72:U72" si="72">G3</f>
        <v>1</v>
      </c>
      <c r="H72" s="112">
        <f t="shared" si="72"/>
        <v>2</v>
      </c>
      <c r="I72" s="112">
        <f t="shared" si="72"/>
        <v>3</v>
      </c>
      <c r="J72" s="112">
        <f t="shared" si="72"/>
        <v>4</v>
      </c>
      <c r="K72" s="112">
        <f t="shared" si="72"/>
        <v>5</v>
      </c>
      <c r="L72" s="112">
        <f t="shared" ref="L72:P72" si="73">L3</f>
        <v>6</v>
      </c>
      <c r="M72" s="112">
        <f t="shared" si="73"/>
        <v>7</v>
      </c>
      <c r="N72" s="112">
        <f t="shared" si="73"/>
        <v>8</v>
      </c>
      <c r="O72" s="112">
        <f t="shared" si="73"/>
        <v>9</v>
      </c>
      <c r="P72" s="112">
        <f t="shared" si="73"/>
        <v>10</v>
      </c>
      <c r="Q72" s="112">
        <f t="shared" si="72"/>
        <v>11</v>
      </c>
      <c r="R72" s="112">
        <f t="shared" si="72"/>
        <v>12</v>
      </c>
      <c r="S72" s="112">
        <f t="shared" si="72"/>
        <v>13</v>
      </c>
      <c r="T72" s="112">
        <f t="shared" si="72"/>
        <v>14</v>
      </c>
      <c r="U72" s="112">
        <f t="shared" si="72"/>
        <v>15</v>
      </c>
      <c r="V72" s="29"/>
      <c r="W72" s="79"/>
    </row>
    <row r="73" spans="1:23" x14ac:dyDescent="0.2">
      <c r="A73" s="29"/>
      <c r="B73" s="110"/>
      <c r="C73" s="110"/>
      <c r="D73" s="153">
        <f>HLOOKUP(1,G71:U72,2,FALSE)</f>
        <v>1</v>
      </c>
      <c r="E73" s="153"/>
      <c r="F73" s="153"/>
      <c r="G73" s="113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29"/>
      <c r="W73" s="79"/>
    </row>
    <row r="74" spans="1:23" x14ac:dyDescent="0.2">
      <c r="A74" s="29"/>
      <c r="B74" s="110" t="s">
        <v>45</v>
      </c>
      <c r="C74" s="110"/>
      <c r="D74" s="114">
        <f>MAXA('Secondary Inputs'!J6:X6)</f>
        <v>22123.378369183658</v>
      </c>
      <c r="E74" s="114"/>
      <c r="F74" s="114"/>
      <c r="G74" s="113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29"/>
      <c r="W74" s="79"/>
    </row>
    <row r="75" spans="1:23" x14ac:dyDescent="0.2">
      <c r="A75" s="29"/>
      <c r="B75" s="110" t="s">
        <v>44</v>
      </c>
      <c r="C75" s="110"/>
      <c r="D75" s="111" t="s">
        <v>42</v>
      </c>
      <c r="E75" s="111"/>
      <c r="F75" s="111"/>
      <c r="G75" s="112" t="str">
        <f t="shared" ref="G75:U75" si="74">IF(G58&lt;0,"",1)</f>
        <v/>
      </c>
      <c r="H75" s="112" t="str">
        <f t="shared" si="74"/>
        <v/>
      </c>
      <c r="I75" s="112" t="str">
        <f t="shared" si="74"/>
        <v/>
      </c>
      <c r="J75" s="112" t="str">
        <f t="shared" si="74"/>
        <v/>
      </c>
      <c r="K75" s="112">
        <f t="shared" si="74"/>
        <v>1</v>
      </c>
      <c r="L75" s="112">
        <f t="shared" ref="L75:P75" si="75">IF(L58&lt;0,"",1)</f>
        <v>1</v>
      </c>
      <c r="M75" s="112">
        <f t="shared" si="75"/>
        <v>1</v>
      </c>
      <c r="N75" s="112">
        <f t="shared" si="75"/>
        <v>1</v>
      </c>
      <c r="O75" s="112">
        <f t="shared" si="75"/>
        <v>1</v>
      </c>
      <c r="P75" s="112">
        <f t="shared" si="75"/>
        <v>1</v>
      </c>
      <c r="Q75" s="112">
        <f t="shared" si="74"/>
        <v>1</v>
      </c>
      <c r="R75" s="112">
        <f t="shared" si="74"/>
        <v>1</v>
      </c>
      <c r="S75" s="112">
        <f t="shared" si="74"/>
        <v>1</v>
      </c>
      <c r="T75" s="112">
        <f t="shared" si="74"/>
        <v>1</v>
      </c>
      <c r="U75" s="112">
        <f t="shared" si="74"/>
        <v>1</v>
      </c>
      <c r="V75" s="29"/>
      <c r="W75" s="79"/>
    </row>
    <row r="76" spans="1:23" x14ac:dyDescent="0.2">
      <c r="A76" s="29"/>
      <c r="B76" s="109"/>
      <c r="C76" s="109"/>
      <c r="D76" s="115">
        <f>HLOOKUP(1,G75:U76,2,FALSE)</f>
        <v>0.43589469924505919</v>
      </c>
      <c r="E76" s="115"/>
      <c r="F76" s="115"/>
      <c r="G76" s="116"/>
      <c r="H76" s="116">
        <f t="shared" ref="H76" si="76">-G58/H57</f>
        <v>-2.4176283044316067</v>
      </c>
      <c r="I76" s="116">
        <f t="shared" ref="I76" si="77">-H58/I57</f>
        <v>3.9822936894808674</v>
      </c>
      <c r="J76" s="116">
        <f t="shared" ref="J76" si="78">-I58/J57</f>
        <v>1.5627602872953639</v>
      </c>
      <c r="K76" s="116">
        <f t="shared" ref="K76" si="79">-J58/K57</f>
        <v>0.43589469924505919</v>
      </c>
      <c r="L76" s="116">
        <f t="shared" ref="L76" si="80">-K58/L57</f>
        <v>-0.50090499953709511</v>
      </c>
      <c r="M76" s="116">
        <f t="shared" ref="M76" si="81">-L58/M57</f>
        <v>-1.4273527669487314</v>
      </c>
      <c r="N76" s="116">
        <f t="shared" ref="N76" si="82">-M58/N57</f>
        <v>-2.4032618917241417</v>
      </c>
      <c r="O76" s="116">
        <f>-N58/O57</f>
        <v>-3.4576356649558289</v>
      </c>
      <c r="P76" s="116">
        <f t="shared" ref="P76" si="83">-O58/P57</f>
        <v>-4.608832261622684</v>
      </c>
      <c r="Q76" s="116">
        <f t="shared" ref="Q76" si="84">-P58/Q57</f>
        <v>-5.8709666438050716</v>
      </c>
      <c r="R76" s="116">
        <f t="shared" ref="R76" si="85">-Q58/R57</f>
        <v>-7.2564400020215203</v>
      </c>
      <c r="S76" s="116">
        <f t="shared" ref="S76" si="86">-R58/S57</f>
        <v>-8.7771236531666883</v>
      </c>
      <c r="T76" s="116">
        <f t="shared" ref="T76" si="87">-S58/T57</f>
        <v>-10.445002139892711</v>
      </c>
      <c r="U76" s="116">
        <f t="shared" ref="U76" si="88">-T58/U57</f>
        <v>-13.124685248311961</v>
      </c>
      <c r="V76" s="29"/>
      <c r="W76" s="79"/>
    </row>
    <row r="77" spans="1:23" x14ac:dyDescent="0.2">
      <c r="A77" s="29"/>
      <c r="B77" s="109"/>
      <c r="C77" s="109"/>
      <c r="D77" s="117">
        <f>IF(SUM(G75:U75)&lt;0,"&gt;15 years",15-SUM(G75:U75)+D76)</f>
        <v>4.4358946992450594</v>
      </c>
      <c r="E77" s="117"/>
      <c r="F77" s="117"/>
      <c r="G77" s="113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29"/>
      <c r="W77" s="79"/>
    </row>
    <row r="78" spans="1:23" x14ac:dyDescent="0.2">
      <c r="A78" s="29"/>
      <c r="B78" s="110" t="s">
        <v>102</v>
      </c>
      <c r="C78" s="110"/>
      <c r="D78" s="117">
        <f>-G62/G68</f>
        <v>1.6412836498136025</v>
      </c>
      <c r="E78" s="117"/>
      <c r="F78" s="117"/>
      <c r="G78" s="113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29"/>
      <c r="W78" s="79"/>
    </row>
    <row r="79" spans="1:23" x14ac:dyDescent="0.2">
      <c r="A79" s="29"/>
      <c r="B79" s="109"/>
      <c r="C79" s="109"/>
      <c r="D79" s="96"/>
      <c r="E79" s="96"/>
      <c r="F79" s="96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29"/>
      <c r="W79" s="79"/>
    </row>
    <row r="80" spans="1:23" x14ac:dyDescent="0.2">
      <c r="A80" s="29"/>
      <c r="B80" s="110" t="s">
        <v>49</v>
      </c>
      <c r="C80" s="110"/>
      <c r="D80" s="119"/>
      <c r="E80" s="119"/>
      <c r="F80" s="119"/>
      <c r="G80" s="118"/>
      <c r="H80" s="121"/>
      <c r="I80" s="122" t="s">
        <v>73</v>
      </c>
      <c r="J80" s="123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29"/>
      <c r="W80" s="79"/>
    </row>
    <row r="81" spans="1:23" x14ac:dyDescent="0.2">
      <c r="A81" s="29"/>
      <c r="B81" s="109"/>
      <c r="C81" s="109"/>
      <c r="D81" s="119"/>
      <c r="E81" s="119"/>
      <c r="F81" s="119"/>
      <c r="G81" s="182">
        <f>G62</f>
        <v>23403.266753379219</v>
      </c>
      <c r="H81" s="183">
        <v>0.8</v>
      </c>
      <c r="I81" s="183">
        <v>1</v>
      </c>
      <c r="J81" s="183">
        <v>1.2</v>
      </c>
      <c r="K81" s="109"/>
      <c r="L81" s="109"/>
      <c r="M81" s="109"/>
      <c r="N81" s="109"/>
      <c r="O81" s="109"/>
      <c r="P81" s="109"/>
      <c r="Q81" s="29"/>
      <c r="R81" s="29"/>
      <c r="S81" s="29"/>
      <c r="T81" s="29"/>
      <c r="U81" s="109"/>
      <c r="V81" s="29"/>
      <c r="W81" s="79"/>
    </row>
    <row r="82" spans="1:23" x14ac:dyDescent="0.2">
      <c r="A82" s="29"/>
      <c r="B82" s="109"/>
      <c r="C82" s="109"/>
      <c r="D82" s="81"/>
      <c r="E82" s="160"/>
      <c r="F82" s="120"/>
      <c r="G82" s="183">
        <v>0.8</v>
      </c>
      <c r="H82" s="184">
        <f t="dataTable" ref="H82:J84" dt2D="1" dtr="0" r1="W8" r2="W13"/>
        <v>8396.8402064762176</v>
      </c>
      <c r="I82" s="184">
        <v>13834.997816041408</v>
      </c>
      <c r="J82" s="184">
        <v>19273.155425606601</v>
      </c>
      <c r="K82" s="109"/>
      <c r="L82" s="109"/>
      <c r="M82" s="109"/>
      <c r="N82" s="109"/>
      <c r="O82" s="109"/>
      <c r="P82" s="109"/>
      <c r="Q82" s="29"/>
      <c r="R82" s="29"/>
      <c r="S82" s="29"/>
      <c r="T82" s="29"/>
      <c r="U82" s="109"/>
      <c r="V82" s="29"/>
      <c r="W82" s="79"/>
    </row>
    <row r="83" spans="1:23" x14ac:dyDescent="0.2">
      <c r="A83" s="29"/>
      <c r="B83" s="109"/>
      <c r="C83" s="109"/>
      <c r="D83" s="81"/>
      <c r="E83" s="159"/>
      <c r="F83" s="162" t="s">
        <v>74</v>
      </c>
      <c r="G83" s="183">
        <v>1</v>
      </c>
      <c r="H83" s="184">
        <v>16051.455356346471</v>
      </c>
      <c r="I83" s="185">
        <v>23403.266753379219</v>
      </c>
      <c r="J83" s="184">
        <v>30755.078150411973</v>
      </c>
      <c r="K83" s="109"/>
      <c r="L83" s="109"/>
      <c r="M83" s="109"/>
      <c r="N83" s="109"/>
      <c r="O83" s="109"/>
      <c r="P83" s="109"/>
      <c r="Q83" s="29"/>
      <c r="R83" s="29"/>
      <c r="S83" s="29"/>
      <c r="T83" s="29"/>
      <c r="U83" s="109"/>
      <c r="V83" s="29"/>
      <c r="W83" s="79"/>
    </row>
    <row r="84" spans="1:23" x14ac:dyDescent="0.2">
      <c r="A84" s="29"/>
      <c r="B84" s="109"/>
      <c r="C84" s="109"/>
      <c r="D84" s="81"/>
      <c r="E84" s="160"/>
      <c r="F84" s="161"/>
      <c r="G84" s="183">
        <v>1.2</v>
      </c>
      <c r="H84" s="184">
        <v>23706.070506216718</v>
      </c>
      <c r="I84" s="184">
        <v>32971.535690717035</v>
      </c>
      <c r="J84" s="184">
        <v>42237.000875217353</v>
      </c>
      <c r="K84" s="109"/>
      <c r="L84" s="109"/>
      <c r="M84" s="109"/>
      <c r="N84" s="109"/>
      <c r="O84" s="109"/>
      <c r="P84" s="109"/>
      <c r="Q84" s="29"/>
      <c r="R84" s="29"/>
      <c r="S84" s="29"/>
      <c r="T84" s="29"/>
      <c r="U84" s="109"/>
      <c r="V84" s="29"/>
      <c r="W84" s="79"/>
    </row>
    <row r="85" spans="1:23" x14ac:dyDescent="0.2">
      <c r="A85" s="29"/>
      <c r="B85" s="29"/>
      <c r="C85" s="29"/>
      <c r="D85" s="79"/>
      <c r="E85" s="79"/>
      <c r="F85" s="7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79"/>
    </row>
  </sheetData>
  <phoneticPr fontId="2" type="noConversion"/>
  <printOptions horizontalCentered="1"/>
  <pageMargins left="0.74803149606299213" right="0.74803149606299213" top="0.68" bottom="0.48" header="0.51181102362204722" footer="0.2"/>
  <pageSetup paperSize="9" scale="49" orientation="landscape" r:id="rId1"/>
  <headerFooter alignWithMargins="0">
    <oddFooter>&amp;C&amp;F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AO44"/>
  <sheetViews>
    <sheetView topLeftCell="A34" zoomScale="90" zoomScaleNormal="90" workbookViewId="0">
      <selection activeCell="O31" sqref="O31"/>
    </sheetView>
  </sheetViews>
  <sheetFormatPr defaultRowHeight="12.75" x14ac:dyDescent="0.2"/>
  <cols>
    <col min="1" max="1" width="3" customWidth="1"/>
    <col min="2" max="7" width="3.140625" customWidth="1"/>
    <col min="8" max="8" width="5.140625" customWidth="1"/>
    <col min="9" max="9" width="6.85546875" customWidth="1"/>
    <col min="10" max="10" width="5" customWidth="1"/>
    <col min="11" max="11" width="6.85546875" customWidth="1"/>
    <col min="12" max="13" width="7" customWidth="1"/>
    <col min="14" max="41" width="3.140625" customWidth="1"/>
  </cols>
  <sheetData>
    <row r="1" spans="1:41" x14ac:dyDescent="0.2">
      <c r="A1" s="217" t="s">
        <v>123</v>
      </c>
    </row>
    <row r="2" spans="1:41" x14ac:dyDescent="0.2">
      <c r="A2" s="223" t="s">
        <v>167</v>
      </c>
    </row>
    <row r="3" spans="1:41" ht="5.25" customHeight="1" thickBo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</row>
    <row r="4" spans="1:41" ht="5.25" customHeight="1" x14ac:dyDescent="0.2">
      <c r="A4" s="84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</row>
    <row r="5" spans="1:41" ht="15.75" x14ac:dyDescent="0.25">
      <c r="A5" s="30" t="s">
        <v>50</v>
      </c>
      <c r="B5" s="8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314">
        <f ca="1">TODAY()</f>
        <v>43675</v>
      </c>
      <c r="AL5" s="314"/>
      <c r="AM5" s="314"/>
      <c r="AN5" s="314"/>
      <c r="AO5" s="314"/>
    </row>
    <row r="6" spans="1:41" ht="6" customHeight="1" thickBot="1" x14ac:dyDescent="0.3">
      <c r="A6" s="76"/>
      <c r="B6" s="78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77"/>
      <c r="AL6" s="77"/>
      <c r="AM6" s="77"/>
      <c r="AN6" s="77"/>
      <c r="AO6" s="77"/>
    </row>
    <row r="7" spans="1:41" ht="15.75" x14ac:dyDescent="0.25">
      <c r="A7" s="30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70"/>
      <c r="AL7" s="70"/>
      <c r="AM7" s="70"/>
      <c r="AN7" s="70"/>
      <c r="AO7" s="70"/>
    </row>
    <row r="8" spans="1:41" x14ac:dyDescent="0.2">
      <c r="A8" s="63" t="s">
        <v>69</v>
      </c>
      <c r="B8" s="72"/>
      <c r="C8" s="53"/>
      <c r="D8" s="53"/>
      <c r="E8" s="53"/>
      <c r="F8" s="53"/>
      <c r="G8" s="72"/>
      <c r="H8" s="319" t="str">
        <f>'Project Rationale'!D6</f>
        <v>Tomato Open Field West Africa Dry Season</v>
      </c>
      <c r="I8" s="320"/>
      <c r="J8" s="320"/>
      <c r="K8" s="320"/>
      <c r="L8" s="320"/>
      <c r="M8" s="320"/>
      <c r="N8" s="320"/>
      <c r="O8" s="320"/>
      <c r="P8" s="320"/>
      <c r="Q8" s="320"/>
      <c r="R8" s="29"/>
      <c r="S8" s="73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</row>
    <row r="9" spans="1:41" x14ac:dyDescent="0.2">
      <c r="A9" s="63" t="s">
        <v>165</v>
      </c>
      <c r="B9" s="72"/>
      <c r="C9" s="53"/>
      <c r="D9" s="53"/>
      <c r="E9" s="53"/>
      <c r="F9" s="53"/>
      <c r="G9" s="106"/>
      <c r="H9" s="318" t="str">
        <f>'Project Rationale'!D5</f>
        <v xml:space="preserve">#1 </v>
      </c>
      <c r="I9" s="320"/>
      <c r="J9" s="320"/>
      <c r="K9" s="320"/>
      <c r="L9" s="320"/>
      <c r="M9" s="320"/>
      <c r="N9" s="320"/>
      <c r="O9" s="320"/>
      <c r="P9" s="320"/>
      <c r="Q9" s="320"/>
      <c r="R9" s="29"/>
      <c r="S9" s="73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</row>
    <row r="10" spans="1:41" x14ac:dyDescent="0.2">
      <c r="A10" s="63" t="s">
        <v>130</v>
      </c>
      <c r="B10" s="72"/>
      <c r="C10" s="53"/>
      <c r="D10" s="53"/>
      <c r="E10" s="53"/>
      <c r="F10" s="53"/>
      <c r="G10" s="106"/>
      <c r="H10" s="318">
        <f>'Project Rationale'!D9</f>
        <v>0</v>
      </c>
      <c r="I10" s="318"/>
      <c r="J10" s="318"/>
      <c r="K10" s="318"/>
      <c r="L10" s="318"/>
      <c r="M10" s="318"/>
      <c r="N10" s="318"/>
      <c r="O10" s="318"/>
      <c r="P10" s="318"/>
      <c r="Q10" s="318"/>
      <c r="R10" s="29"/>
      <c r="S10" s="73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</row>
    <row r="11" spans="1:41" x14ac:dyDescent="0.2">
      <c r="A11" s="63" t="s">
        <v>70</v>
      </c>
      <c r="B11" s="72"/>
      <c r="C11" s="53"/>
      <c r="D11" s="53"/>
      <c r="E11" s="53"/>
      <c r="F11" s="53"/>
      <c r="G11" s="106"/>
      <c r="H11" s="318" t="str">
        <f>'Project Rationale'!D11</f>
        <v>Proposed</v>
      </c>
      <c r="I11" s="318"/>
      <c r="J11" s="318"/>
      <c r="K11" s="318"/>
      <c r="L11" s="318"/>
      <c r="M11" s="318"/>
      <c r="N11" s="318"/>
      <c r="O11" s="318"/>
      <c r="P11" s="318"/>
      <c r="Q11" s="318"/>
      <c r="R11" s="29"/>
      <c r="S11" s="73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</row>
    <row r="12" spans="1:41" x14ac:dyDescent="0.2">
      <c r="A12" s="71" t="s">
        <v>71</v>
      </c>
      <c r="B12" s="72"/>
      <c r="C12" s="59"/>
      <c r="D12" s="59"/>
      <c r="E12" s="59"/>
      <c r="F12" s="59"/>
      <c r="G12" s="106"/>
      <c r="H12" s="318"/>
      <c r="I12" s="318"/>
      <c r="J12" s="318"/>
      <c r="K12" s="318"/>
      <c r="L12" s="318"/>
      <c r="M12" s="318"/>
      <c r="N12" s="318"/>
      <c r="O12" s="318"/>
      <c r="P12" s="318"/>
      <c r="Q12" s="318"/>
      <c r="R12" s="29"/>
      <c r="S12" s="73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</row>
    <row r="13" spans="1:41" x14ac:dyDescent="0.2">
      <c r="A13" s="71" t="s">
        <v>131</v>
      </c>
      <c r="B13" s="106"/>
      <c r="C13" s="59"/>
      <c r="D13" s="59"/>
      <c r="E13" s="59"/>
      <c r="F13" s="59"/>
      <c r="G13" s="106"/>
      <c r="H13" s="318" t="str">
        <f>'Project Rationale'!D16</f>
        <v>Vivienne Anthony</v>
      </c>
      <c r="I13" s="318"/>
      <c r="J13" s="318"/>
      <c r="K13" s="318"/>
      <c r="L13" s="318"/>
      <c r="M13" s="318"/>
      <c r="N13" s="318"/>
      <c r="O13" s="318"/>
      <c r="P13" s="318"/>
      <c r="Q13" s="318"/>
      <c r="R13" s="29"/>
      <c r="S13" s="73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</row>
    <row r="14" spans="1:41" x14ac:dyDescent="0.2">
      <c r="A14" s="29"/>
      <c r="B14" s="29"/>
      <c r="C14" s="29"/>
      <c r="D14" s="29"/>
      <c r="E14" s="29"/>
      <c r="F14" s="29"/>
      <c r="G14" s="29"/>
      <c r="H14" s="33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73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</row>
    <row r="15" spans="1:41" x14ac:dyDescent="0.2">
      <c r="A15" s="39" t="s">
        <v>27</v>
      </c>
      <c r="B15" s="29"/>
      <c r="C15" s="29"/>
      <c r="D15" s="29"/>
      <c r="E15" s="29"/>
      <c r="F15" s="29"/>
      <c r="G15" s="29"/>
      <c r="H15" s="33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73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</row>
    <row r="16" spans="1:41" x14ac:dyDescent="0.2">
      <c r="A16" s="39"/>
      <c r="B16" s="29"/>
      <c r="C16" s="29"/>
      <c r="D16" s="29"/>
      <c r="E16" s="29"/>
      <c r="F16" s="29"/>
      <c r="G16" s="29"/>
      <c r="H16" s="33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73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</row>
    <row r="17" spans="1:41" x14ac:dyDescent="0.2">
      <c r="A17" s="29"/>
      <c r="B17" s="54" t="s">
        <v>38</v>
      </c>
      <c r="C17" s="33"/>
      <c r="D17" s="33"/>
      <c r="E17" s="33"/>
      <c r="F17" s="29"/>
      <c r="G17" s="29"/>
      <c r="H17" s="33"/>
      <c r="I17" s="29"/>
      <c r="J17" s="29"/>
      <c r="K17" s="29"/>
      <c r="L17" s="29"/>
      <c r="M17" s="57" t="s">
        <v>18</v>
      </c>
      <c r="N17" s="29"/>
      <c r="O17" s="315">
        <f>'NPV calculation'!G60</f>
        <v>16224.239670212937</v>
      </c>
      <c r="P17" s="315"/>
      <c r="Q17" s="315"/>
      <c r="R17" s="29"/>
      <c r="S17" s="73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</row>
    <row r="18" spans="1:41" ht="13.5" thickBot="1" x14ac:dyDescent="0.25">
      <c r="A18" s="29"/>
      <c r="B18" s="55" t="s">
        <v>39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8" t="s">
        <v>18</v>
      </c>
      <c r="N18" s="56"/>
      <c r="O18" s="316">
        <f>'NPV calculation'!G61</f>
        <v>7179.0270831662838</v>
      </c>
      <c r="P18" s="316"/>
      <c r="Q18" s="316"/>
      <c r="R18" s="29"/>
      <c r="S18" s="73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</row>
    <row r="19" spans="1:41" ht="13.5" thickBot="1" x14ac:dyDescent="0.25">
      <c r="A19" s="29"/>
      <c r="B19" s="60" t="s">
        <v>40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2" t="s">
        <v>18</v>
      </c>
      <c r="N19" s="61"/>
      <c r="O19" s="317">
        <f>'NPV calculation'!G62</f>
        <v>23403.266753379219</v>
      </c>
      <c r="P19" s="317"/>
      <c r="Q19" s="317"/>
      <c r="R19" s="29"/>
      <c r="S19" s="73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</row>
    <row r="20" spans="1:41" x14ac:dyDescent="0.2">
      <c r="A20" s="29"/>
      <c r="B20" s="29"/>
      <c r="C20" s="29"/>
      <c r="D20" s="29"/>
      <c r="E20" s="29"/>
      <c r="F20" s="29"/>
      <c r="G20" s="29"/>
      <c r="H20" s="33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73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</row>
    <row r="21" spans="1:41" x14ac:dyDescent="0.2">
      <c r="A21" s="29"/>
      <c r="B21" s="29"/>
      <c r="C21" s="29"/>
      <c r="D21" s="29"/>
      <c r="E21" s="29"/>
      <c r="F21" s="29"/>
      <c r="G21" s="29"/>
      <c r="H21" s="33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73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</row>
    <row r="22" spans="1:41" x14ac:dyDescent="0.2">
      <c r="A22" s="39" t="s">
        <v>29</v>
      </c>
      <c r="C22" s="29"/>
      <c r="D22" s="29"/>
      <c r="E22" s="29"/>
      <c r="F22" s="29"/>
      <c r="G22" s="29"/>
      <c r="H22" s="321" t="s">
        <v>43</v>
      </c>
      <c r="I22" s="322"/>
      <c r="J22" s="322"/>
      <c r="K22" s="322"/>
      <c r="L22" s="322"/>
      <c r="M22" s="323"/>
      <c r="N22" s="29"/>
      <c r="O22" s="29"/>
      <c r="P22" s="29"/>
      <c r="Q22" s="29"/>
      <c r="R22" s="29"/>
      <c r="S22" s="73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</row>
    <row r="23" spans="1:41" ht="13.5" thickBot="1" x14ac:dyDescent="0.25">
      <c r="A23" s="29" t="s">
        <v>18</v>
      </c>
      <c r="B23" s="64"/>
      <c r="C23" s="64"/>
      <c r="D23" s="64"/>
      <c r="E23" s="64"/>
      <c r="F23" s="64"/>
      <c r="G23" s="65"/>
      <c r="H23" s="348">
        <v>-0.2</v>
      </c>
      <c r="I23" s="349"/>
      <c r="J23" s="350" t="s">
        <v>28</v>
      </c>
      <c r="K23" s="351"/>
      <c r="L23" s="352" t="s">
        <v>48</v>
      </c>
      <c r="M23" s="353"/>
      <c r="N23" s="64"/>
      <c r="O23" s="64"/>
      <c r="P23" s="64"/>
      <c r="Q23" s="64"/>
      <c r="R23" s="64"/>
      <c r="S23" s="73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</row>
    <row r="24" spans="1:41" ht="12.75" customHeight="1" x14ac:dyDescent="0.2">
      <c r="A24" s="29"/>
      <c r="B24" s="64"/>
      <c r="C24" s="64"/>
      <c r="D24" s="64"/>
      <c r="E24" s="64"/>
      <c r="F24" s="324" t="s">
        <v>75</v>
      </c>
      <c r="G24" s="365">
        <v>-0.2</v>
      </c>
      <c r="H24" s="332">
        <f>'NPV calculation'!H82</f>
        <v>8396.8402064762176</v>
      </c>
      <c r="I24" s="333"/>
      <c r="J24" s="339">
        <f>'NPV calculation'!I82</f>
        <v>13834.997816041408</v>
      </c>
      <c r="K24" s="340"/>
      <c r="L24" s="342">
        <f>'NPV calculation'!J82</f>
        <v>19273.155425606601</v>
      </c>
      <c r="M24" s="343"/>
      <c r="N24" s="64"/>
      <c r="O24" s="64"/>
      <c r="P24" s="64"/>
      <c r="Q24" s="64"/>
      <c r="R24" s="64"/>
      <c r="S24" s="73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</row>
    <row r="25" spans="1:41" ht="13.5" customHeight="1" thickBot="1" x14ac:dyDescent="0.25">
      <c r="A25" s="29"/>
      <c r="B25" s="64"/>
      <c r="C25" s="64"/>
      <c r="D25" s="64"/>
      <c r="E25" s="64"/>
      <c r="F25" s="325"/>
      <c r="G25" s="366"/>
      <c r="H25" s="334"/>
      <c r="I25" s="335"/>
      <c r="J25" s="341"/>
      <c r="K25" s="340"/>
      <c r="L25" s="344"/>
      <c r="M25" s="345"/>
      <c r="N25" s="64"/>
      <c r="O25" s="64"/>
      <c r="P25" s="64"/>
      <c r="Q25" s="64"/>
      <c r="R25" s="64"/>
      <c r="S25" s="73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</row>
    <row r="26" spans="1:41" ht="12.75" customHeight="1" x14ac:dyDescent="0.2">
      <c r="A26" s="29"/>
      <c r="B26" s="64"/>
      <c r="C26" s="64"/>
      <c r="D26" s="64"/>
      <c r="E26" s="64"/>
      <c r="F26" s="325"/>
      <c r="G26" s="367" t="s">
        <v>28</v>
      </c>
      <c r="H26" s="336">
        <f>'NPV calculation'!H83</f>
        <v>16051.455356346471</v>
      </c>
      <c r="I26" s="337"/>
      <c r="J26" s="327">
        <f>'NPV calculation'!I83</f>
        <v>23403.266753379219</v>
      </c>
      <c r="K26" s="328"/>
      <c r="L26" s="336">
        <f>'NPV calculation'!J83</f>
        <v>30755.078150411973</v>
      </c>
      <c r="M26" s="346"/>
      <c r="N26" s="64"/>
      <c r="O26" s="64"/>
      <c r="P26" s="64"/>
      <c r="Q26" s="64"/>
      <c r="R26" s="64"/>
      <c r="S26" s="73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</row>
    <row r="27" spans="1:41" ht="13.5" customHeight="1" thickBot="1" x14ac:dyDescent="0.25">
      <c r="A27" s="29"/>
      <c r="B27" s="64"/>
      <c r="C27" s="64"/>
      <c r="D27" s="64"/>
      <c r="E27" s="64"/>
      <c r="F27" s="325"/>
      <c r="G27" s="368"/>
      <c r="H27" s="338"/>
      <c r="I27" s="338"/>
      <c r="J27" s="329"/>
      <c r="K27" s="330"/>
      <c r="L27" s="338"/>
      <c r="M27" s="347"/>
      <c r="N27" s="64"/>
      <c r="O27" s="64"/>
      <c r="P27" s="64"/>
      <c r="Q27" s="64"/>
      <c r="R27" s="64"/>
      <c r="S27" s="73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</row>
    <row r="28" spans="1:41" ht="12.75" customHeight="1" x14ac:dyDescent="0.2">
      <c r="A28" s="29"/>
      <c r="B28" s="64"/>
      <c r="C28" s="64"/>
      <c r="D28" s="64"/>
      <c r="E28" s="64"/>
      <c r="F28" s="325"/>
      <c r="G28" s="369" t="s">
        <v>48</v>
      </c>
      <c r="H28" s="354">
        <f>'NPV calculation'!H84</f>
        <v>23706.070506216718</v>
      </c>
      <c r="I28" s="355"/>
      <c r="J28" s="339">
        <f>'NPV calculation'!I84</f>
        <v>32971.535690717035</v>
      </c>
      <c r="K28" s="340"/>
      <c r="L28" s="359">
        <f>'NPV calculation'!J84</f>
        <v>42237.000875217353</v>
      </c>
      <c r="M28" s="360"/>
      <c r="N28" s="64"/>
      <c r="O28" s="64"/>
      <c r="P28" s="64"/>
      <c r="Q28" s="64"/>
      <c r="R28" s="64"/>
      <c r="S28" s="73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</row>
    <row r="29" spans="1:41" ht="12.75" customHeight="1" thickBot="1" x14ac:dyDescent="0.25">
      <c r="A29" s="29"/>
      <c r="B29" s="64"/>
      <c r="C29" s="64"/>
      <c r="D29" s="64"/>
      <c r="E29" s="64"/>
      <c r="F29" s="326"/>
      <c r="G29" s="370"/>
      <c r="H29" s="356"/>
      <c r="I29" s="357"/>
      <c r="J29" s="358"/>
      <c r="K29" s="347"/>
      <c r="L29" s="361"/>
      <c r="M29" s="362"/>
      <c r="N29" s="64"/>
      <c r="O29" s="64"/>
      <c r="P29" s="64"/>
      <c r="Q29" s="64"/>
      <c r="R29" s="64"/>
      <c r="S29" s="73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</row>
    <row r="30" spans="1:41" ht="12.75" customHeight="1" x14ac:dyDescent="0.2">
      <c r="A30" s="29"/>
      <c r="C30" s="64"/>
      <c r="D30" s="64"/>
      <c r="E30" s="64"/>
      <c r="F30" s="75" t="s">
        <v>113</v>
      </c>
      <c r="G30" s="64"/>
      <c r="H30" s="66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73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</row>
    <row r="31" spans="1:41" ht="12.75" customHeight="1" thickBot="1" x14ac:dyDescent="0.25">
      <c r="A31" s="29"/>
      <c r="B31" s="64"/>
      <c r="C31" s="64"/>
      <c r="D31" s="64"/>
      <c r="E31" s="64"/>
      <c r="F31" s="64"/>
      <c r="G31" s="64"/>
      <c r="H31" s="66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73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</row>
    <row r="32" spans="1:41" ht="12.75" customHeight="1" thickBot="1" x14ac:dyDescent="0.25">
      <c r="A32" s="39" t="s">
        <v>102</v>
      </c>
      <c r="B32" s="64"/>
      <c r="C32" s="64"/>
      <c r="D32" s="64"/>
      <c r="E32" s="64"/>
      <c r="F32" s="64"/>
      <c r="G32" s="64"/>
      <c r="H32" s="66"/>
      <c r="I32" s="64"/>
      <c r="J32" s="377">
        <f>'NPV calculation'!D78</f>
        <v>1.6412836498136025</v>
      </c>
      <c r="K32" s="378"/>
      <c r="L32" s="64"/>
      <c r="M32" s="64"/>
      <c r="N32" s="64"/>
      <c r="O32" s="64"/>
      <c r="P32" s="64"/>
      <c r="Q32" s="64"/>
      <c r="R32" s="64"/>
      <c r="S32" s="73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</row>
    <row r="33" spans="1:41" ht="12.75" customHeight="1" x14ac:dyDescent="0.2">
      <c r="A33" s="29"/>
      <c r="B33" s="64"/>
      <c r="C33" s="64"/>
      <c r="D33" s="64"/>
      <c r="E33" s="64"/>
      <c r="F33" s="64"/>
      <c r="G33" s="64"/>
      <c r="H33" s="66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73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</row>
    <row r="34" spans="1:41" x14ac:dyDescent="0.2">
      <c r="A34" s="39" t="s">
        <v>51</v>
      </c>
      <c r="C34" s="29"/>
      <c r="D34" s="29"/>
      <c r="E34" s="29"/>
      <c r="F34" s="29"/>
      <c r="G34" s="29"/>
      <c r="H34" s="33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73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</row>
    <row r="35" spans="1:41" x14ac:dyDescent="0.2">
      <c r="A35" s="29"/>
      <c r="B35" s="29"/>
      <c r="C35" s="29"/>
      <c r="D35" s="29"/>
      <c r="E35" s="29"/>
      <c r="F35" s="29"/>
      <c r="G35" s="29"/>
      <c r="H35" s="33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73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</row>
    <row r="36" spans="1:41" x14ac:dyDescent="0.2">
      <c r="A36" s="29"/>
      <c r="B36" s="29" t="s">
        <v>35</v>
      </c>
      <c r="C36" s="29"/>
      <c r="D36" s="29"/>
      <c r="E36" s="29"/>
      <c r="F36" s="29"/>
      <c r="G36" s="29"/>
      <c r="H36" s="33"/>
      <c r="I36" s="29"/>
      <c r="J36" s="373">
        <f>'NPV calculation'!D77</f>
        <v>4.4358946992450594</v>
      </c>
      <c r="K36" s="373"/>
      <c r="L36" s="373"/>
      <c r="M36" s="373"/>
      <c r="N36" s="29"/>
      <c r="O36" s="29" t="s">
        <v>36</v>
      </c>
      <c r="P36" s="29"/>
      <c r="Q36" s="29"/>
      <c r="R36" s="29"/>
      <c r="S36" s="73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</row>
    <row r="37" spans="1:41" x14ac:dyDescent="0.2">
      <c r="A37" s="29"/>
      <c r="B37" t="s">
        <v>22</v>
      </c>
      <c r="C37" s="29"/>
      <c r="D37" s="29"/>
      <c r="E37" s="29"/>
      <c r="F37" s="29"/>
      <c r="G37" s="29"/>
      <c r="H37" s="33"/>
      <c r="I37" s="29"/>
      <c r="J37" s="331">
        <f>'NPV calculation'!D73</f>
        <v>1</v>
      </c>
      <c r="K37" s="331"/>
      <c r="L37" s="331"/>
      <c r="M37" s="331"/>
      <c r="N37" s="29"/>
      <c r="O37" s="29" t="s">
        <v>30</v>
      </c>
      <c r="P37" s="29"/>
      <c r="Q37" s="29"/>
      <c r="R37" s="29"/>
      <c r="S37" s="73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</row>
    <row r="38" spans="1:41" x14ac:dyDescent="0.2">
      <c r="A38" s="29"/>
      <c r="B38" s="29" t="s">
        <v>53</v>
      </c>
      <c r="C38" s="29"/>
      <c r="D38" s="29"/>
      <c r="E38" s="29"/>
      <c r="F38" s="29"/>
      <c r="G38" s="29"/>
      <c r="H38" s="33"/>
      <c r="I38" s="29"/>
      <c r="J38" s="374">
        <f>'NPV calculation'!D74</f>
        <v>22123.378369183658</v>
      </c>
      <c r="K38" s="375"/>
      <c r="L38" s="375"/>
      <c r="M38" s="375"/>
      <c r="N38" s="29"/>
      <c r="O38" s="29" t="s">
        <v>31</v>
      </c>
      <c r="P38" s="29"/>
      <c r="Q38" s="29"/>
      <c r="R38" s="29"/>
      <c r="S38" s="73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</row>
    <row r="39" spans="1:41" x14ac:dyDescent="0.2">
      <c r="A39" s="29"/>
      <c r="B39" s="29" t="s">
        <v>114</v>
      </c>
      <c r="C39" s="29"/>
      <c r="D39" s="29"/>
      <c r="E39" s="29"/>
      <c r="F39" s="29"/>
      <c r="G39" s="29"/>
      <c r="H39" s="33"/>
      <c r="I39" s="29"/>
      <c r="J39" s="376">
        <f>'Secondary Inputs'!F8</f>
        <v>0.88</v>
      </c>
      <c r="K39" s="376"/>
      <c r="L39" s="376"/>
      <c r="M39" s="376"/>
      <c r="N39" s="67"/>
      <c r="O39" s="29" t="s">
        <v>32</v>
      </c>
      <c r="P39" s="29"/>
      <c r="Q39" s="29"/>
      <c r="R39" s="29"/>
      <c r="S39" s="73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</row>
    <row r="40" spans="1:41" x14ac:dyDescent="0.2">
      <c r="A40" s="29"/>
      <c r="B40" s="29"/>
      <c r="C40" s="68" t="s">
        <v>59</v>
      </c>
      <c r="D40" s="29"/>
      <c r="E40" s="68"/>
      <c r="F40" s="68"/>
      <c r="G40" s="68"/>
      <c r="H40" s="69"/>
      <c r="I40" s="68"/>
      <c r="J40" s="372" t="str">
        <f>'Secondary Inputs'!F9</f>
        <v>(name)</v>
      </c>
      <c r="K40" s="372"/>
      <c r="L40" s="372"/>
      <c r="M40" s="372"/>
      <c r="N40" s="29"/>
      <c r="O40" s="29"/>
      <c r="P40" s="29"/>
      <c r="Q40" s="29"/>
      <c r="R40" s="29"/>
      <c r="S40" s="73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</row>
    <row r="41" spans="1:41" x14ac:dyDescent="0.2">
      <c r="A41" s="29"/>
      <c r="B41" s="29"/>
      <c r="C41" s="68" t="s">
        <v>60</v>
      </c>
      <c r="D41" s="29"/>
      <c r="E41" s="68"/>
      <c r="F41" s="68"/>
      <c r="G41" s="68"/>
      <c r="H41" s="69"/>
      <c r="I41" s="68"/>
      <c r="J41" s="371">
        <f>'Secondary Inputs'!F10</f>
        <v>0.8</v>
      </c>
      <c r="K41" s="372"/>
      <c r="L41" s="372"/>
      <c r="M41" s="372"/>
      <c r="N41" s="29"/>
      <c r="O41" s="68" t="s">
        <v>32</v>
      </c>
      <c r="P41" s="29"/>
      <c r="Q41" s="29"/>
      <c r="R41" s="29"/>
      <c r="S41" s="73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</row>
    <row r="42" spans="1:41" x14ac:dyDescent="0.2">
      <c r="A42" s="29"/>
      <c r="B42" s="29" t="s">
        <v>52</v>
      </c>
      <c r="C42" s="68"/>
      <c r="D42" s="29"/>
      <c r="E42" s="68"/>
      <c r="F42" s="68"/>
      <c r="G42" s="68"/>
      <c r="H42" s="69"/>
      <c r="I42" s="68"/>
      <c r="J42" s="363">
        <f>SUM('NPV calculation'!G21:U21)</f>
        <v>-38481.152831566069</v>
      </c>
      <c r="K42" s="364"/>
      <c r="L42" s="364"/>
      <c r="M42" s="364"/>
      <c r="N42" s="33"/>
      <c r="O42" s="29" t="s">
        <v>31</v>
      </c>
      <c r="P42" s="29"/>
      <c r="Q42" s="29"/>
      <c r="R42" s="29"/>
      <c r="S42" s="73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</row>
    <row r="43" spans="1:41" x14ac:dyDescent="0.2">
      <c r="A43" s="29"/>
      <c r="B43" s="29" t="s">
        <v>108</v>
      </c>
      <c r="C43" s="68"/>
      <c r="D43" s="29"/>
      <c r="E43" s="68"/>
      <c r="F43" s="68"/>
      <c r="G43" s="68"/>
      <c r="H43" s="69"/>
      <c r="I43" s="68"/>
      <c r="J43" s="363">
        <f>SUM('NPV calculation'!G39:U39)</f>
        <v>0</v>
      </c>
      <c r="K43" s="364"/>
      <c r="L43" s="364"/>
      <c r="M43" s="364"/>
      <c r="N43" s="166"/>
      <c r="O43" s="29" t="s">
        <v>31</v>
      </c>
      <c r="P43" s="29"/>
      <c r="Q43" s="29"/>
      <c r="R43" s="29"/>
      <c r="S43" s="73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</row>
    <row r="44" spans="1:41" x14ac:dyDescent="0.2">
      <c r="A44" s="29"/>
      <c r="B44" s="29"/>
      <c r="C44" s="68"/>
      <c r="D44" s="29"/>
      <c r="E44" s="68"/>
      <c r="F44" s="68"/>
      <c r="G44" s="68"/>
      <c r="H44" s="69"/>
      <c r="I44" s="68"/>
      <c r="J44" s="67"/>
      <c r="K44" s="83"/>
      <c r="L44" s="83"/>
      <c r="M44" s="83"/>
      <c r="N44" s="29"/>
      <c r="O44" s="29"/>
      <c r="P44" s="29"/>
      <c r="Q44" s="29"/>
      <c r="R44" s="29"/>
      <c r="S44" s="33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</row>
  </sheetData>
  <mergeCells count="36">
    <mergeCell ref="J43:M43"/>
    <mergeCell ref="G24:G25"/>
    <mergeCell ref="G26:G27"/>
    <mergeCell ref="G28:G29"/>
    <mergeCell ref="J42:M42"/>
    <mergeCell ref="J41:M41"/>
    <mergeCell ref="J36:M36"/>
    <mergeCell ref="J38:M38"/>
    <mergeCell ref="J39:M39"/>
    <mergeCell ref="J40:M40"/>
    <mergeCell ref="J32:K32"/>
    <mergeCell ref="H22:M22"/>
    <mergeCell ref="F24:F29"/>
    <mergeCell ref="J26:K27"/>
    <mergeCell ref="J37:M37"/>
    <mergeCell ref="H24:I25"/>
    <mergeCell ref="H26:I27"/>
    <mergeCell ref="J24:K25"/>
    <mergeCell ref="L24:M25"/>
    <mergeCell ref="L26:M27"/>
    <mergeCell ref="H23:I23"/>
    <mergeCell ref="J23:K23"/>
    <mergeCell ref="L23:M23"/>
    <mergeCell ref="H28:I29"/>
    <mergeCell ref="J28:K29"/>
    <mergeCell ref="L28:M29"/>
    <mergeCell ref="AK5:AO5"/>
    <mergeCell ref="O17:Q17"/>
    <mergeCell ref="O18:Q18"/>
    <mergeCell ref="O19:Q19"/>
    <mergeCell ref="H13:Q13"/>
    <mergeCell ref="H8:Q8"/>
    <mergeCell ref="H9:Q9"/>
    <mergeCell ref="H10:Q10"/>
    <mergeCell ref="H11:Q11"/>
    <mergeCell ref="H12:Q12"/>
  </mergeCells>
  <phoneticPr fontId="2" type="noConversion"/>
  <printOptions horizontalCentered="1" verticalCentered="1"/>
  <pageMargins left="0.15748031496062992" right="0.19685039370078741" top="0.23622047244094491" bottom="0.31496062992125984" header="0.15748031496062992" footer="0.18"/>
  <pageSetup paperSize="9" scale="99" orientation="landscape" r:id="rId1"/>
  <headerFooter alignWithMargins="0">
    <oddFooter>&amp;C&amp;F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R22" sqref="R22"/>
    </sheetView>
  </sheetViews>
  <sheetFormatPr defaultRowHeight="12.7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curity0 xmlns="5caeafb6-2ad7-4c86-aa11-e8853de1543c">Internal</Security0>
    <Status xmlns="5caeafb6-2ad7-4c86-aa11-e8853de1543c">Current</Status>
    <Category xmlns="5caeafb6-2ad7-4c86-aa11-e8853de1543c">NPV</Category>
    <Crop_x0020_Council xmlns="5caeafb6-2ad7-4c86-aa11-e8853de1543c">General</Crop_x0020_Council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4117AFAC4A5E42BFE98D3630ACCE98" ma:contentTypeVersion="9" ma:contentTypeDescription="Create a new document." ma:contentTypeScope="" ma:versionID="b81a56de9fe0a6541abb0895807734a4">
  <xsd:schema xmlns:xsd="http://www.w3.org/2001/XMLSchema" xmlns:xs="http://www.w3.org/2001/XMLSchema" xmlns:p="http://schemas.microsoft.com/office/2006/metadata/properties" xmlns:ns2="5caeafb6-2ad7-4c86-aa11-e8853de1543c" xmlns:ns3="http://schemas.microsoft.com/sharepoint/v4" targetNamespace="http://schemas.microsoft.com/office/2006/metadata/properties" ma:root="true" ma:fieldsID="f0971f5d2143e1254b29279b7f11c4e1" ns2:_="" ns3:_="">
    <xsd:import namespace="5caeafb6-2ad7-4c86-aa11-e8853de1543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Security0"/>
                <xsd:element ref="ns2:Status"/>
                <xsd:element ref="ns2:Category" minOccurs="0"/>
                <xsd:element ref="ns2:Crop_x0020_Council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aeafb6-2ad7-4c86-aa11-e8853de1543c" elementFormDefault="qualified">
    <xsd:import namespace="http://schemas.microsoft.com/office/2006/documentManagement/types"/>
    <xsd:import namespace="http://schemas.microsoft.com/office/infopath/2007/PartnerControls"/>
    <xsd:element name="Security0" ma:index="8" ma:displayName="Security" ma:default="Internal" ma:format="Dropdown" ma:internalName="Security0">
      <xsd:simpleType>
        <xsd:restriction base="dms:Choice">
          <xsd:enumeration value="Confidential"/>
          <xsd:enumeration value="Internal"/>
          <xsd:enumeration value="Public"/>
          <xsd:enumeration value="Secret"/>
        </xsd:restriction>
      </xsd:simpleType>
    </xsd:element>
    <xsd:element name="Status" ma:index="9" ma:displayName="Status" ma:default="Draft" ma:format="Dropdown" ma:internalName="Status">
      <xsd:simpleType>
        <xsd:restriction base="dms:Choice">
          <xsd:enumeration value="Draft"/>
          <xsd:enumeration value="Current"/>
          <xsd:enumeration value="Ready for Smartdoc"/>
        </xsd:restriction>
      </xsd:simpleType>
    </xsd:element>
    <xsd:element name="Category" ma:index="10" nillable="true" ma:displayName="Category" ma:format="Dropdown" ma:internalName="Category">
      <xsd:simpleType>
        <xsd:restriction base="dms:Choice">
          <xsd:enumeration value="Bench Review Reports"/>
          <xsd:enumeration value="Crop Council Meetings"/>
          <xsd:enumeration value="Dashboard"/>
          <xsd:enumeration value="Global Crop Portfolio Team"/>
          <xsd:enumeration value="Import regulation Israel"/>
          <xsd:enumeration value="MAIC projects"/>
          <xsd:enumeration value="Megasegment files"/>
          <xsd:enumeration value="Nagoya"/>
          <xsd:enumeration value="NPV"/>
          <xsd:enumeration value="One Biology"/>
          <xsd:enumeration value="Org chart"/>
          <xsd:enumeration value="Pre-read"/>
          <xsd:enumeration value="Strategy"/>
          <xsd:enumeration value="Travel Planners (Co-Leads)"/>
          <xsd:enumeration value="Other"/>
        </xsd:restriction>
      </xsd:simpleType>
    </xsd:element>
    <xsd:element name="Crop_x0020_Council" ma:index="11" nillable="true" ma:displayName="Crop Council" ma:default="General" ma:format="Dropdown" ma:internalName="Crop_x0020_Council" ma:readOnly="false">
      <xsd:simpleType>
        <xsd:restriction base="dms:Choice">
          <xsd:enumeration value="General"/>
          <xsd:enumeration value="BSO"/>
          <xsd:enumeration value="Cucurbits"/>
          <xsd:enumeration value="Industrial Crops"/>
          <xsd:enumeration value="Pepper"/>
          <xsd:enumeration value="Tomato"/>
          <xsd:enumeration value="T&amp;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2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07C93F-EF39-4525-870A-5C88DC6A246A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sharepoint/v4"/>
    <ds:schemaRef ds:uri="5caeafb6-2ad7-4c86-aa11-e8853de1543c"/>
  </ds:schemaRefs>
</ds:datastoreItem>
</file>

<file path=customXml/itemProps2.xml><?xml version="1.0" encoding="utf-8"?>
<ds:datastoreItem xmlns:ds="http://schemas.openxmlformats.org/officeDocument/2006/customXml" ds:itemID="{C5A50B4D-9DDF-4973-8FC0-5AA1D7DD60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aeafb6-2ad7-4c86-aa11-e8853de1543c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550EB3-C941-4C13-92D4-890F572F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Remarks</vt:lpstr>
      <vt:lpstr>Cover</vt:lpstr>
      <vt:lpstr>Common NPV parameters</vt:lpstr>
      <vt:lpstr>Project Rationale</vt:lpstr>
      <vt:lpstr>Input Breeder</vt:lpstr>
      <vt:lpstr>Secondary Inputs</vt:lpstr>
      <vt:lpstr>NPV calculation</vt:lpstr>
      <vt:lpstr>Summary</vt:lpstr>
      <vt:lpstr>Cannibalization principle</vt:lpstr>
      <vt:lpstr>Explanations</vt:lpstr>
      <vt:lpstr>Summary!Print_Area</vt:lpstr>
    </vt:vector>
  </TitlesOfParts>
  <Company>Syngenta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Case model CPD</dc:title>
  <dc:creator>Alexander Modrow</dc:creator>
  <cp:lastModifiedBy>Leigh-Ann Bard</cp:lastModifiedBy>
  <cp:lastPrinted>2013-03-27T08:45:03Z</cp:lastPrinted>
  <dcterms:created xsi:type="dcterms:W3CDTF">2007-09-17T13:45:20Z</dcterms:created>
  <dcterms:modified xsi:type="dcterms:W3CDTF">2019-07-29T09:46:30Z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Business Area">
    <vt:lpwstr>CPD</vt:lpwstr>
  </property>
  <property fmtid="{D5CDD505-2E9C-101B-9397-08002B2CF9AE}" pid="4" name="Security0">
    <vt:lpwstr>Internal</vt:lpwstr>
  </property>
  <property fmtid="{D5CDD505-2E9C-101B-9397-08002B2CF9AE}" pid="5" name="Requirements Category">
    <vt:lpwstr>Processes and WorkFlow</vt:lpwstr>
  </property>
  <property fmtid="{D5CDD505-2E9C-101B-9397-08002B2CF9AE}" pid="6" name="Author0">
    <vt:lpwstr>Alex Modrow</vt:lpwstr>
  </property>
  <property fmtid="{D5CDD505-2E9C-101B-9397-08002B2CF9AE}" pid="7" name="Status">
    <vt:lpwstr>Current</vt:lpwstr>
  </property>
  <property fmtid="{D5CDD505-2E9C-101B-9397-08002B2CF9AE}" pid="8" name="Document Type">
    <vt:lpwstr>Process Documentation</vt:lpwstr>
  </property>
  <property fmtid="{D5CDD505-2E9C-101B-9397-08002B2CF9AE}" pid="9" name="ContentTypeId">
    <vt:lpwstr>0x0101008C4117AFAC4A5E42BFE98D3630ACCE98</vt:lpwstr>
  </property>
</Properties>
</file>